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essi\OneDrive\Escritorio\escuela\Servicio Social\Python\PCA\Fortun 500\"/>
    </mc:Choice>
  </mc:AlternateContent>
  <xr:revisionPtr revIDLastSave="0" documentId="13_ncr:1_{2C3A60ED-ED11-4F0C-B421-8468EFAFE495}" xr6:coauthVersionLast="47" xr6:coauthVersionMax="47" xr10:uidLastSave="{00000000-0000-0000-0000-000000000000}"/>
  <bookViews>
    <workbookView xWindow="-108" yWindow="-108" windowWidth="23256" windowHeight="13896" firstSheet="10" activeTab="10" xr2:uid="{56EDA297-7CBB-4454-BC0D-2D669FBE7C7F}"/>
  </bookViews>
  <sheets>
    <sheet name="Resultado_año_empleado" sheetId="31" r:id="rId1"/>
    <sheet name="Ventas_empleado" sheetId="30" r:id="rId2"/>
    <sheet name="Rotación_activos" sheetId="29" r:id="rId3"/>
    <sheet name="Multiplicador_capital" sheetId="28" r:id="rId4"/>
    <sheet name="Empleados" sheetId="27" r:id="rId5"/>
    <sheet name="Utilidad_%_activos" sheetId="25" r:id="rId6"/>
    <sheet name="Utilidad_%_ventas" sheetId="24" r:id="rId7"/>
    <sheet name="Capital_accs._Millones " sheetId="23" r:id="rId8"/>
    <sheet name="Activos_Millones" sheetId="22" r:id="rId9"/>
    <sheet name="Utilidad_%_cambio_año_anter" sheetId="21" r:id="rId10"/>
    <sheet name="Utilidad_Millones" sheetId="20" r:id="rId11"/>
    <sheet name="Ingreso_%_cambio_año_anteri" sheetId="19" r:id="rId12"/>
    <sheet name="Ingresos_Millones" sheetId="18" r:id="rId13"/>
    <sheet name="Valor_mercado_millones" sheetId="33" r:id="rId14"/>
    <sheet name="Cambio_%_valor_mercado" sheetId="35" r:id="rId15"/>
    <sheet name="ROE" sheetId="3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4" i="33" l="1"/>
  <c r="B274" i="35" s="1"/>
  <c r="B263" i="33"/>
  <c r="B252" i="33"/>
  <c r="B253" i="35"/>
  <c r="B241" i="33"/>
  <c r="B263" i="30"/>
  <c r="B241" i="29"/>
  <c r="B270" i="21"/>
  <c r="B271" i="21"/>
  <c r="B272" i="21"/>
  <c r="B273" i="21"/>
  <c r="B274" i="21"/>
  <c r="B275" i="21"/>
  <c r="B276" i="21"/>
  <c r="B277" i="21"/>
  <c r="B278" i="21"/>
  <c r="B269" i="21"/>
  <c r="B259" i="21"/>
  <c r="B260" i="21"/>
  <c r="B261" i="21"/>
  <c r="B262" i="21"/>
  <c r="B263" i="21"/>
  <c r="B264" i="21"/>
  <c r="B265" i="21"/>
  <c r="B266" i="21"/>
  <c r="B267" i="21"/>
  <c r="B258" i="21"/>
  <c r="B248" i="21"/>
  <c r="B249" i="21"/>
  <c r="B250" i="21"/>
  <c r="B251" i="21"/>
  <c r="B252" i="21"/>
  <c r="B253" i="21"/>
  <c r="B254" i="21"/>
  <c r="B255" i="21"/>
  <c r="B256" i="21"/>
  <c r="B247" i="21"/>
  <c r="B278" i="24"/>
  <c r="B277" i="24"/>
  <c r="B276" i="24"/>
  <c r="B275" i="24"/>
  <c r="B274" i="24"/>
  <c r="B273" i="24"/>
  <c r="B272" i="24"/>
  <c r="B271" i="24"/>
  <c r="B270" i="24"/>
  <c r="B269" i="24"/>
  <c r="B268" i="24"/>
  <c r="B267" i="24"/>
  <c r="B266" i="24"/>
  <c r="B265" i="24"/>
  <c r="B264" i="24"/>
  <c r="B263" i="24"/>
  <c r="B262" i="24"/>
  <c r="B261" i="24"/>
  <c r="B260" i="24"/>
  <c r="B259" i="24"/>
  <c r="B258" i="24"/>
  <c r="B257" i="24"/>
  <c r="B256" i="24"/>
  <c r="B255" i="24"/>
  <c r="B254" i="24"/>
  <c r="B253" i="24"/>
  <c r="B252" i="24"/>
  <c r="B251" i="24"/>
  <c r="B250" i="24"/>
  <c r="B249" i="24"/>
  <c r="B248" i="24"/>
  <c r="B247" i="24"/>
  <c r="B246" i="24"/>
  <c r="B245" i="24"/>
  <c r="B244" i="24"/>
  <c r="B243" i="24"/>
  <c r="B242" i="24"/>
  <c r="B240" i="24"/>
  <c r="B239" i="24"/>
  <c r="B238" i="24"/>
  <c r="B237" i="24"/>
  <c r="B278" i="25"/>
  <c r="B277" i="25"/>
  <c r="B276" i="25"/>
  <c r="B275" i="25"/>
  <c r="B274" i="25"/>
  <c r="B273" i="25"/>
  <c r="B272" i="25"/>
  <c r="B271" i="25"/>
  <c r="B270" i="25"/>
  <c r="B269" i="25"/>
  <c r="B268" i="25"/>
  <c r="B267" i="25"/>
  <c r="B266" i="25"/>
  <c r="B265" i="25"/>
  <c r="B264" i="25"/>
  <c r="B263" i="25"/>
  <c r="B262" i="25"/>
  <c r="B261" i="25"/>
  <c r="B260" i="25"/>
  <c r="B259" i="25"/>
  <c r="B258" i="25"/>
  <c r="B257" i="25"/>
  <c r="B256" i="25"/>
  <c r="B255" i="25"/>
  <c r="B254" i="25"/>
  <c r="B253" i="25"/>
  <c r="B252" i="25"/>
  <c r="B251" i="25"/>
  <c r="B250" i="25"/>
  <c r="B249" i="25"/>
  <c r="B248" i="25"/>
  <c r="B247" i="25"/>
  <c r="B246" i="25"/>
  <c r="B245" i="25"/>
  <c r="B244" i="25"/>
  <c r="B243" i="25"/>
  <c r="B242" i="25"/>
  <c r="B241" i="25"/>
  <c r="B240" i="25"/>
  <c r="B239" i="25"/>
  <c r="B238" i="25"/>
  <c r="B237" i="25"/>
  <c r="B278" i="28"/>
  <c r="B277" i="28"/>
  <c r="B276" i="28"/>
  <c r="B275" i="28"/>
  <c r="B274" i="28"/>
  <c r="B273" i="28"/>
  <c r="B272" i="28"/>
  <c r="B271" i="28"/>
  <c r="B270" i="28"/>
  <c r="B269" i="28"/>
  <c r="B268" i="28"/>
  <c r="B267" i="28"/>
  <c r="B266" i="28"/>
  <c r="B265" i="28"/>
  <c r="B264" i="28"/>
  <c r="B263" i="28"/>
  <c r="B262" i="28"/>
  <c r="B261" i="28"/>
  <c r="B260" i="28"/>
  <c r="B259" i="28"/>
  <c r="B258" i="28"/>
  <c r="B257" i="28"/>
  <c r="B256" i="28"/>
  <c r="B255" i="28"/>
  <c r="B254" i="28"/>
  <c r="B253" i="28"/>
  <c r="B252" i="28"/>
  <c r="B251" i="28"/>
  <c r="B250" i="28"/>
  <c r="B249" i="28"/>
  <c r="B248" i="28"/>
  <c r="B247" i="28"/>
  <c r="B246" i="28"/>
  <c r="B245" i="28"/>
  <c r="B244" i="28"/>
  <c r="B243" i="28"/>
  <c r="B242" i="28"/>
  <c r="B241" i="28"/>
  <c r="B240" i="28"/>
  <c r="B239" i="28"/>
  <c r="B238" i="28"/>
  <c r="B237" i="28"/>
  <c r="B278" i="29"/>
  <c r="B277" i="29"/>
  <c r="B276" i="29"/>
  <c r="B275" i="29"/>
  <c r="B274" i="29"/>
  <c r="B273" i="29"/>
  <c r="B272" i="29"/>
  <c r="B271" i="29"/>
  <c r="B270" i="29"/>
  <c r="B269" i="29"/>
  <c r="B268" i="29"/>
  <c r="B267" i="29"/>
  <c r="B266" i="29"/>
  <c r="B265" i="29"/>
  <c r="B264" i="29"/>
  <c r="B263" i="29"/>
  <c r="B262" i="29"/>
  <c r="B261" i="29"/>
  <c r="B260" i="29"/>
  <c r="B259" i="29"/>
  <c r="B258" i="29"/>
  <c r="B257" i="29"/>
  <c r="B256" i="29"/>
  <c r="B255" i="29"/>
  <c r="B254" i="29"/>
  <c r="B253" i="29"/>
  <c r="B252" i="29"/>
  <c r="B251" i="29"/>
  <c r="B250" i="29"/>
  <c r="B249" i="29"/>
  <c r="B248" i="29"/>
  <c r="B247" i="29"/>
  <c r="B246" i="29"/>
  <c r="B245" i="29"/>
  <c r="B244" i="29"/>
  <c r="B243" i="29"/>
  <c r="B242" i="29"/>
  <c r="B240" i="29"/>
  <c r="B239" i="29"/>
  <c r="B238" i="29"/>
  <c r="B237" i="29"/>
  <c r="B278" i="30"/>
  <c r="B277" i="30"/>
  <c r="B276" i="30"/>
  <c r="B275" i="30"/>
  <c r="B274" i="30"/>
  <c r="B273" i="30"/>
  <c r="B272" i="30"/>
  <c r="B271" i="30"/>
  <c r="B270" i="30"/>
  <c r="B269" i="30"/>
  <c r="B268" i="30"/>
  <c r="B267" i="30"/>
  <c r="B266" i="30"/>
  <c r="B265" i="30"/>
  <c r="B264" i="30"/>
  <c r="B262" i="30"/>
  <c r="B261" i="30"/>
  <c r="B260" i="30"/>
  <c r="B259" i="30"/>
  <c r="B258" i="30"/>
  <c r="B257" i="30"/>
  <c r="B256" i="30"/>
  <c r="B255" i="30"/>
  <c r="B254" i="30"/>
  <c r="B253" i="30"/>
  <c r="B252" i="30"/>
  <c r="B251" i="30"/>
  <c r="B250" i="30"/>
  <c r="B249" i="30"/>
  <c r="B248" i="30"/>
  <c r="B247" i="30"/>
  <c r="B246" i="30"/>
  <c r="B245" i="30"/>
  <c r="B244" i="30"/>
  <c r="B243" i="30"/>
  <c r="B242" i="30"/>
  <c r="B240" i="30"/>
  <c r="B239" i="30"/>
  <c r="B238" i="30"/>
  <c r="B237" i="30"/>
  <c r="B256" i="31"/>
  <c r="B255" i="31"/>
  <c r="B254" i="31"/>
  <c r="B253" i="31"/>
  <c r="B252" i="31"/>
  <c r="B251" i="31"/>
  <c r="B250" i="31"/>
  <c r="B249" i="31"/>
  <c r="B248" i="31"/>
  <c r="B247" i="31"/>
  <c r="B246" i="3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78" i="31"/>
  <c r="B277" i="31"/>
  <c r="B276" i="31"/>
  <c r="B275" i="31"/>
  <c r="B274" i="31"/>
  <c r="B273" i="31"/>
  <c r="B272" i="31"/>
  <c r="B271" i="31"/>
  <c r="B270" i="31"/>
  <c r="B269" i="31"/>
  <c r="B268" i="31"/>
  <c r="B267" i="31"/>
  <c r="B266" i="31"/>
  <c r="B265" i="31"/>
  <c r="B264" i="31"/>
  <c r="B263" i="31"/>
  <c r="B262" i="31"/>
  <c r="B261" i="31"/>
  <c r="B260" i="31"/>
  <c r="B259" i="31"/>
  <c r="B258" i="31"/>
  <c r="B257" i="31"/>
  <c r="B12" i="31"/>
  <c r="B11" i="31"/>
  <c r="B10" i="31"/>
  <c r="B9" i="31"/>
  <c r="B8" i="31"/>
  <c r="B7" i="31"/>
  <c r="B6" i="31"/>
  <c r="B5" i="31"/>
  <c r="B4" i="31"/>
  <c r="B3" i="31"/>
  <c r="B2" i="31"/>
  <c r="B12" i="30"/>
  <c r="B11" i="30"/>
  <c r="B10" i="30"/>
  <c r="B9" i="30"/>
  <c r="B8" i="30"/>
  <c r="B7" i="30"/>
  <c r="B6" i="30"/>
  <c r="B5" i="30"/>
  <c r="B4" i="30"/>
  <c r="B3" i="30"/>
  <c r="B2" i="30"/>
  <c r="B12" i="29"/>
  <c r="B11" i="29"/>
  <c r="B10" i="29"/>
  <c r="B9" i="29"/>
  <c r="B8" i="29"/>
  <c r="B7" i="29"/>
  <c r="B6" i="29"/>
  <c r="B5" i="29"/>
  <c r="B4" i="29"/>
  <c r="B3" i="29"/>
  <c r="B2" i="29"/>
  <c r="B12" i="28"/>
  <c r="B11" i="28"/>
  <c r="B10" i="28"/>
  <c r="B9" i="28"/>
  <c r="B8" i="28"/>
  <c r="B7" i="28"/>
  <c r="B6" i="28"/>
  <c r="B5" i="28"/>
  <c r="B4" i="28"/>
  <c r="B3" i="28"/>
  <c r="B2" i="28"/>
  <c r="B12" i="25"/>
  <c r="B11" i="25"/>
  <c r="B10" i="25"/>
  <c r="B9" i="25"/>
  <c r="B8" i="25"/>
  <c r="B7" i="25"/>
  <c r="B6" i="25"/>
  <c r="B5" i="25"/>
  <c r="B4" i="25"/>
  <c r="B3" i="25"/>
  <c r="B2" i="25"/>
  <c r="B4" i="24"/>
  <c r="B5" i="24"/>
  <c r="B6" i="24"/>
  <c r="B7" i="24"/>
  <c r="B8" i="24"/>
  <c r="B9" i="24"/>
  <c r="B10" i="24"/>
  <c r="B11" i="24"/>
  <c r="B12" i="24"/>
  <c r="B3" i="24"/>
  <c r="B8" i="34"/>
  <c r="B4" i="21"/>
  <c r="B5" i="21"/>
  <c r="B6" i="21"/>
  <c r="B7" i="21"/>
  <c r="B8" i="21"/>
  <c r="B9" i="21"/>
  <c r="B10" i="21"/>
  <c r="B11" i="21"/>
  <c r="B12" i="21"/>
  <c r="B3" i="21"/>
  <c r="B4" i="19"/>
  <c r="B5" i="19"/>
  <c r="B6" i="19"/>
  <c r="B7" i="19"/>
  <c r="B8" i="19"/>
  <c r="B9" i="19"/>
  <c r="B10" i="19"/>
  <c r="B11" i="19"/>
  <c r="B12" i="19"/>
  <c r="B3" i="19"/>
  <c r="B278" i="35"/>
  <c r="B277" i="35"/>
  <c r="B276" i="35"/>
  <c r="B273" i="35"/>
  <c r="B272" i="35"/>
  <c r="B271" i="35"/>
  <c r="B270" i="35"/>
  <c r="B269" i="35"/>
  <c r="B267" i="35"/>
  <c r="B266" i="35"/>
  <c r="B265" i="35"/>
  <c r="B264" i="35"/>
  <c r="B263" i="35"/>
  <c r="B262" i="35"/>
  <c r="B261" i="35"/>
  <c r="B260" i="35"/>
  <c r="B259" i="35"/>
  <c r="B258" i="35"/>
  <c r="B256" i="35"/>
  <c r="B255" i="35"/>
  <c r="B254" i="35"/>
  <c r="B251" i="35"/>
  <c r="B250" i="35"/>
  <c r="B249" i="35"/>
  <c r="B248" i="35"/>
  <c r="B247" i="35"/>
  <c r="B245" i="35"/>
  <c r="B244" i="35"/>
  <c r="B243" i="35"/>
  <c r="B242" i="35"/>
  <c r="B241" i="35"/>
  <c r="B240" i="35"/>
  <c r="B239" i="35"/>
  <c r="B238" i="35"/>
  <c r="B236" i="35"/>
  <c r="B235" i="35"/>
  <c r="B234" i="35"/>
  <c r="B232" i="35"/>
  <c r="B231" i="35"/>
  <c r="B230" i="35"/>
  <c r="B229" i="35"/>
  <c r="B228" i="35"/>
  <c r="B227" i="35"/>
  <c r="B226" i="35"/>
  <c r="B225" i="35"/>
  <c r="B224" i="35"/>
  <c r="B223" i="35"/>
  <c r="B221" i="35"/>
  <c r="B220" i="35"/>
  <c r="B219" i="35"/>
  <c r="B218" i="35"/>
  <c r="B217" i="35"/>
  <c r="B216" i="35"/>
  <c r="B215" i="35"/>
  <c r="B214" i="35"/>
  <c r="B213" i="35"/>
  <c r="B212" i="35"/>
  <c r="B210" i="35"/>
  <c r="B209" i="35"/>
  <c r="B208" i="35"/>
  <c r="B207" i="35"/>
  <c r="B206" i="35"/>
  <c r="B205" i="35"/>
  <c r="B204" i="35"/>
  <c r="B203" i="35"/>
  <c r="B202" i="35"/>
  <c r="B201" i="35"/>
  <c r="B199" i="35"/>
  <c r="B198" i="35"/>
  <c r="B197" i="35"/>
  <c r="B196" i="35"/>
  <c r="B195" i="35"/>
  <c r="B194" i="35"/>
  <c r="B193" i="35"/>
  <c r="B192" i="35"/>
  <c r="B191" i="35"/>
  <c r="B190" i="35"/>
  <c r="B188" i="35"/>
  <c r="B187" i="35"/>
  <c r="B186" i="35"/>
  <c r="B185" i="35"/>
  <c r="B184" i="35"/>
  <c r="B183" i="35"/>
  <c r="B182" i="35"/>
  <c r="B181" i="35"/>
  <c r="B180" i="35"/>
  <c r="B179" i="35"/>
  <c r="B177" i="35"/>
  <c r="B176" i="35"/>
  <c r="B175" i="35"/>
  <c r="B174" i="35"/>
  <c r="B173" i="35"/>
  <c r="B172" i="35"/>
  <c r="B171" i="35"/>
  <c r="B170" i="35"/>
  <c r="B169" i="35"/>
  <c r="B168" i="35"/>
  <c r="B166" i="35"/>
  <c r="B165" i="35"/>
  <c r="B164" i="35"/>
  <c r="B163" i="35"/>
  <c r="B162" i="35"/>
  <c r="B161" i="35"/>
  <c r="B160" i="35"/>
  <c r="B159" i="35"/>
  <c r="B158" i="35"/>
  <c r="B157" i="35"/>
  <c r="B147" i="35"/>
  <c r="B148" i="35"/>
  <c r="B149" i="35"/>
  <c r="B150" i="35"/>
  <c r="B151" i="35"/>
  <c r="B152" i="35"/>
  <c r="B153" i="35"/>
  <c r="B154" i="35"/>
  <c r="B155" i="35"/>
  <c r="B146" i="35"/>
  <c r="B136" i="35"/>
  <c r="B137" i="35"/>
  <c r="B138" i="35"/>
  <c r="B139" i="35"/>
  <c r="B140" i="35"/>
  <c r="B141" i="35"/>
  <c r="B142" i="35"/>
  <c r="B143" i="35"/>
  <c r="B144" i="35"/>
  <c r="B135" i="35"/>
  <c r="B12" i="33"/>
  <c r="B11" i="33"/>
  <c r="B11" i="35" s="1"/>
  <c r="B10" i="33"/>
  <c r="B8" i="33"/>
  <c r="B9" i="33"/>
  <c r="B10" i="35" s="1"/>
  <c r="B7" i="33"/>
  <c r="B6" i="33"/>
  <c r="B5" i="33"/>
  <c r="B4" i="33"/>
  <c r="B3" i="33"/>
  <c r="B2" i="33"/>
  <c r="B3" i="35"/>
  <c r="B4" i="35"/>
  <c r="B5" i="35"/>
  <c r="B6" i="35"/>
  <c r="B125" i="35"/>
  <c r="B126" i="35"/>
  <c r="B127" i="35"/>
  <c r="B128" i="35"/>
  <c r="B129" i="35"/>
  <c r="B130" i="35"/>
  <c r="B131" i="35"/>
  <c r="B132" i="35"/>
  <c r="B133" i="35"/>
  <c r="B124" i="35"/>
  <c r="B114" i="35"/>
  <c r="B115" i="35"/>
  <c r="B116" i="35"/>
  <c r="B117" i="35"/>
  <c r="B118" i="35"/>
  <c r="B119" i="35"/>
  <c r="B120" i="35"/>
  <c r="B121" i="35"/>
  <c r="B122" i="35"/>
  <c r="B113" i="35"/>
  <c r="B103" i="35"/>
  <c r="B104" i="35"/>
  <c r="B105" i="35"/>
  <c r="B106" i="35"/>
  <c r="B107" i="35"/>
  <c r="B108" i="35"/>
  <c r="B109" i="35"/>
  <c r="B110" i="35"/>
  <c r="B111" i="35"/>
  <c r="B102" i="35"/>
  <c r="B92" i="35"/>
  <c r="B93" i="35"/>
  <c r="B94" i="35"/>
  <c r="B95" i="35"/>
  <c r="B96" i="35"/>
  <c r="B97" i="35"/>
  <c r="B98" i="35"/>
  <c r="B99" i="35"/>
  <c r="B100" i="35"/>
  <c r="B91" i="35"/>
  <c r="B81" i="35"/>
  <c r="B82" i="35"/>
  <c r="B83" i="35"/>
  <c r="B84" i="35"/>
  <c r="B85" i="35"/>
  <c r="B86" i="35"/>
  <c r="B87" i="35"/>
  <c r="B88" i="35"/>
  <c r="B89" i="35"/>
  <c r="B80" i="35"/>
  <c r="C78" i="33"/>
  <c r="B70" i="35"/>
  <c r="B71" i="35"/>
  <c r="B72" i="35"/>
  <c r="B73" i="35"/>
  <c r="B74" i="35"/>
  <c r="B75" i="35"/>
  <c r="B76" i="35"/>
  <c r="B77" i="35"/>
  <c r="B78" i="35"/>
  <c r="B69" i="35"/>
  <c r="B59" i="35"/>
  <c r="B60" i="35"/>
  <c r="B61" i="35"/>
  <c r="B62" i="35"/>
  <c r="B63" i="35"/>
  <c r="B64" i="35"/>
  <c r="B65" i="35"/>
  <c r="B66" i="35"/>
  <c r="B67" i="35"/>
  <c r="B58" i="35"/>
  <c r="B48" i="35"/>
  <c r="B49" i="35"/>
  <c r="B50" i="35"/>
  <c r="B51" i="35"/>
  <c r="B52" i="35"/>
  <c r="B53" i="35"/>
  <c r="B54" i="35"/>
  <c r="B55" i="35"/>
  <c r="B56" i="35"/>
  <c r="B47" i="35"/>
  <c r="B37" i="35"/>
  <c r="B38" i="35"/>
  <c r="B39" i="35"/>
  <c r="B40" i="35"/>
  <c r="B41" i="35"/>
  <c r="B42" i="35"/>
  <c r="B43" i="35"/>
  <c r="B44" i="35"/>
  <c r="B45" i="35"/>
  <c r="B36" i="35"/>
  <c r="B26" i="35"/>
  <c r="B27" i="35"/>
  <c r="B28" i="35"/>
  <c r="B29" i="35"/>
  <c r="B30" i="35"/>
  <c r="B31" i="35"/>
  <c r="B32" i="35"/>
  <c r="B33" i="35"/>
  <c r="B34" i="35"/>
  <c r="B25" i="35"/>
  <c r="B15" i="35"/>
  <c r="B16" i="35"/>
  <c r="B17" i="35"/>
  <c r="B18" i="35"/>
  <c r="B19" i="35"/>
  <c r="B20" i="35"/>
  <c r="B21" i="35"/>
  <c r="B22" i="35"/>
  <c r="B23" i="35"/>
  <c r="B14" i="35"/>
  <c r="B7" i="35"/>
  <c r="B8" i="35"/>
  <c r="B9" i="35"/>
  <c r="B3" i="34"/>
  <c r="B4" i="34"/>
  <c r="B5" i="34"/>
  <c r="B6" i="34"/>
  <c r="B7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B76" i="34"/>
  <c r="B77" i="34"/>
  <c r="B78" i="34"/>
  <c r="B79" i="34"/>
  <c r="B80" i="34"/>
  <c r="B81" i="34"/>
  <c r="B82" i="34"/>
  <c r="B83" i="34"/>
  <c r="B84" i="34"/>
  <c r="B85" i="34"/>
  <c r="B86" i="34"/>
  <c r="B87" i="34"/>
  <c r="B88" i="34"/>
  <c r="B89" i="34"/>
  <c r="B90" i="34"/>
  <c r="B91" i="34"/>
  <c r="B92" i="34"/>
  <c r="B93" i="34"/>
  <c r="B94" i="34"/>
  <c r="B95" i="34"/>
  <c r="B96" i="34"/>
  <c r="B97" i="34"/>
  <c r="B98" i="34"/>
  <c r="B99" i="34"/>
  <c r="B100" i="34"/>
  <c r="B101" i="34"/>
  <c r="B102" i="34"/>
  <c r="B103" i="34"/>
  <c r="B104" i="34"/>
  <c r="B105" i="34"/>
  <c r="B106" i="34"/>
  <c r="B107" i="34"/>
  <c r="B108" i="34"/>
  <c r="B109" i="34"/>
  <c r="B110" i="34"/>
  <c r="B111" i="34"/>
  <c r="B112" i="34"/>
  <c r="B113" i="34"/>
  <c r="B114" i="34"/>
  <c r="B115" i="34"/>
  <c r="B116" i="34"/>
  <c r="B117" i="34"/>
  <c r="B118" i="34"/>
  <c r="B119" i="34"/>
  <c r="B120" i="34"/>
  <c r="B121" i="34"/>
  <c r="B122" i="34"/>
  <c r="B123" i="34"/>
  <c r="B124" i="34"/>
  <c r="B125" i="34"/>
  <c r="B126" i="34"/>
  <c r="B127" i="34"/>
  <c r="B128" i="34"/>
  <c r="B129" i="34"/>
  <c r="B130" i="34"/>
  <c r="B131" i="34"/>
  <c r="B132" i="34"/>
  <c r="B133" i="34"/>
  <c r="B134" i="34"/>
  <c r="B135" i="34"/>
  <c r="B136" i="34"/>
  <c r="B137" i="34"/>
  <c r="B138" i="34"/>
  <c r="B139" i="34"/>
  <c r="B140" i="34"/>
  <c r="B141" i="34"/>
  <c r="B142" i="34"/>
  <c r="B143" i="34"/>
  <c r="B144" i="34"/>
  <c r="B145" i="34"/>
  <c r="B146" i="34"/>
  <c r="B147" i="34"/>
  <c r="B148" i="34"/>
  <c r="B149" i="34"/>
  <c r="B150" i="34"/>
  <c r="B151" i="34"/>
  <c r="B152" i="34"/>
  <c r="B153" i="34"/>
  <c r="B154" i="34"/>
  <c r="B155" i="34"/>
  <c r="B156" i="34"/>
  <c r="B157" i="34"/>
  <c r="B158" i="34"/>
  <c r="B159" i="34"/>
  <c r="B160" i="34"/>
  <c r="B161" i="34"/>
  <c r="B162" i="34"/>
  <c r="B163" i="34"/>
  <c r="B164" i="34"/>
  <c r="B165" i="34"/>
  <c r="B166" i="34"/>
  <c r="B167" i="34"/>
  <c r="B168" i="34"/>
  <c r="B169" i="34"/>
  <c r="B170" i="34"/>
  <c r="B171" i="34"/>
  <c r="B172" i="34"/>
  <c r="B173" i="34"/>
  <c r="B174" i="34"/>
  <c r="B175" i="34"/>
  <c r="B176" i="34"/>
  <c r="B177" i="34"/>
  <c r="B178" i="34"/>
  <c r="B179" i="34"/>
  <c r="B180" i="34"/>
  <c r="B181" i="34"/>
  <c r="B182" i="34"/>
  <c r="B183" i="34"/>
  <c r="B184" i="34"/>
  <c r="B185" i="34"/>
  <c r="B186" i="34"/>
  <c r="B187" i="34"/>
  <c r="B188" i="34"/>
  <c r="B189" i="34"/>
  <c r="B190" i="34"/>
  <c r="B191" i="34"/>
  <c r="B192" i="34"/>
  <c r="B193" i="34"/>
  <c r="B194" i="34"/>
  <c r="B195" i="34"/>
  <c r="B196" i="34"/>
  <c r="B197" i="34"/>
  <c r="B198" i="34"/>
  <c r="B199" i="34"/>
  <c r="B200" i="34"/>
  <c r="B201" i="34"/>
  <c r="B202" i="34"/>
  <c r="B203" i="34"/>
  <c r="B204" i="34"/>
  <c r="B205" i="34"/>
  <c r="B206" i="34"/>
  <c r="B207" i="34"/>
  <c r="B208" i="34"/>
  <c r="B209" i="34"/>
  <c r="B210" i="34"/>
  <c r="B211" i="34"/>
  <c r="B212" i="34"/>
  <c r="B213" i="34"/>
  <c r="B214" i="34"/>
  <c r="B215" i="34"/>
  <c r="B216" i="34"/>
  <c r="B217" i="34"/>
  <c r="B218" i="34"/>
  <c r="B219" i="34"/>
  <c r="B220" i="34"/>
  <c r="B221" i="34"/>
  <c r="B222" i="34"/>
  <c r="B223" i="34"/>
  <c r="B224" i="34"/>
  <c r="B225" i="34"/>
  <c r="B226" i="34"/>
  <c r="B227" i="34"/>
  <c r="B228" i="34"/>
  <c r="B229" i="34"/>
  <c r="B230" i="34"/>
  <c r="B231" i="34"/>
  <c r="B232" i="34"/>
  <c r="B233" i="34"/>
  <c r="B234" i="34"/>
  <c r="B235" i="34"/>
  <c r="B236" i="34"/>
  <c r="B237" i="34"/>
  <c r="B238" i="34"/>
  <c r="B239" i="34"/>
  <c r="B240" i="34"/>
  <c r="B241" i="34"/>
  <c r="B242" i="34"/>
  <c r="B243" i="34"/>
  <c r="B244" i="34"/>
  <c r="B245" i="34"/>
  <c r="B246" i="34"/>
  <c r="B247" i="34"/>
  <c r="B248" i="34"/>
  <c r="B249" i="34"/>
  <c r="B250" i="34"/>
  <c r="B251" i="34"/>
  <c r="B252" i="34"/>
  <c r="B253" i="34"/>
  <c r="B254" i="34"/>
  <c r="B255" i="34"/>
  <c r="B256" i="34"/>
  <c r="B257" i="34"/>
  <c r="B258" i="34"/>
  <c r="B259" i="34"/>
  <c r="B260" i="34"/>
  <c r="B261" i="34"/>
  <c r="B262" i="34"/>
  <c r="B263" i="34"/>
  <c r="B264" i="34"/>
  <c r="B265" i="34"/>
  <c r="B266" i="34"/>
  <c r="B267" i="34"/>
  <c r="B268" i="34"/>
  <c r="B269" i="34"/>
  <c r="B270" i="34"/>
  <c r="B271" i="34"/>
  <c r="B272" i="34"/>
  <c r="B273" i="34"/>
  <c r="B274" i="34"/>
  <c r="B275" i="34"/>
  <c r="B276" i="34"/>
  <c r="B277" i="34"/>
  <c r="B278" i="34"/>
  <c r="B2" i="34"/>
  <c r="B278" i="33"/>
  <c r="B277" i="33"/>
  <c r="B276" i="33"/>
  <c r="B275" i="33"/>
  <c r="B273" i="33"/>
  <c r="B272" i="33"/>
  <c r="B271" i="33"/>
  <c r="B270" i="33"/>
  <c r="B269" i="33"/>
  <c r="B268" i="33"/>
  <c r="B267" i="33"/>
  <c r="B266" i="33"/>
  <c r="B265" i="33"/>
  <c r="B264" i="33"/>
  <c r="B262" i="33"/>
  <c r="B261" i="33"/>
  <c r="B260" i="33"/>
  <c r="B259" i="33"/>
  <c r="B258" i="33"/>
  <c r="B257" i="33"/>
  <c r="B256" i="33"/>
  <c r="B262" i="23"/>
  <c r="B261" i="23"/>
  <c r="B260" i="23"/>
  <c r="B259" i="23"/>
  <c r="B258" i="23"/>
  <c r="B257" i="23"/>
  <c r="B261" i="22"/>
  <c r="B262" i="22"/>
  <c r="B260" i="22"/>
  <c r="B259" i="22"/>
  <c r="B258" i="22"/>
  <c r="B257" i="22"/>
  <c r="B257" i="20"/>
  <c r="B262" i="20"/>
  <c r="B261" i="20"/>
  <c r="B260" i="20"/>
  <c r="B259" i="20"/>
  <c r="B258" i="20"/>
  <c r="B260" i="18"/>
  <c r="B257" i="18"/>
  <c r="B262" i="18"/>
  <c r="B261" i="18"/>
  <c r="B259" i="18"/>
  <c r="B258" i="18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164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233" i="25"/>
  <c r="B234" i="25"/>
  <c r="B235" i="25"/>
  <c r="B236" i="25"/>
  <c r="B145" i="25"/>
  <c r="B232" i="24"/>
  <c r="B231" i="24"/>
  <c r="B230" i="24"/>
  <c r="B229" i="24"/>
  <c r="B228" i="24"/>
  <c r="B227" i="24"/>
  <c r="B226" i="24"/>
  <c r="B225" i="24"/>
  <c r="B224" i="24"/>
  <c r="B223" i="24"/>
  <c r="B222" i="24"/>
  <c r="B221" i="24"/>
  <c r="B220" i="24"/>
  <c r="B219" i="24"/>
  <c r="B218" i="24"/>
  <c r="B217" i="24"/>
  <c r="B216" i="24"/>
  <c r="B215" i="24"/>
  <c r="B214" i="24"/>
  <c r="B213" i="24"/>
  <c r="B212" i="24"/>
  <c r="B211" i="24"/>
  <c r="B210" i="24"/>
  <c r="B209" i="24"/>
  <c r="B208" i="24"/>
  <c r="B207" i="24"/>
  <c r="B206" i="24"/>
  <c r="B205" i="24"/>
  <c r="B204" i="24"/>
  <c r="B203" i="24"/>
  <c r="B202" i="24"/>
  <c r="B201" i="24"/>
  <c r="B200" i="24"/>
  <c r="B199" i="24"/>
  <c r="B198" i="24"/>
  <c r="B197" i="24"/>
  <c r="B196" i="24"/>
  <c r="B195" i="24"/>
  <c r="B194" i="24"/>
  <c r="B193" i="24"/>
  <c r="B192" i="24"/>
  <c r="B191" i="24"/>
  <c r="B190" i="24"/>
  <c r="B189" i="24"/>
  <c r="B188" i="24"/>
  <c r="B187" i="24"/>
  <c r="B186" i="24"/>
  <c r="B185" i="24"/>
  <c r="B184" i="24"/>
  <c r="B183" i="24"/>
  <c r="B182" i="24"/>
  <c r="B181" i="24"/>
  <c r="B180" i="24"/>
  <c r="B179" i="24"/>
  <c r="B178" i="24"/>
  <c r="B177" i="24"/>
  <c r="B176" i="24"/>
  <c r="B175" i="24"/>
  <c r="B174" i="24"/>
  <c r="B173" i="24"/>
  <c r="B172" i="24"/>
  <c r="B171" i="24"/>
  <c r="B170" i="24"/>
  <c r="B169" i="24"/>
  <c r="B168" i="24"/>
  <c r="B167" i="24"/>
  <c r="B166" i="24"/>
  <c r="B165" i="24"/>
  <c r="B164" i="24"/>
  <c r="B255" i="33"/>
  <c r="B254" i="33"/>
  <c r="B253" i="33"/>
  <c r="B251" i="33"/>
  <c r="B250" i="33"/>
  <c r="B249" i="33"/>
  <c r="B248" i="33"/>
  <c r="B247" i="33"/>
  <c r="B246" i="33"/>
  <c r="B275" i="35" l="1"/>
  <c r="B252" i="35"/>
  <c r="B241" i="30"/>
  <c r="B241" i="24"/>
  <c r="B12" i="35"/>
  <c r="B245" i="33"/>
  <c r="B244" i="33"/>
  <c r="B243" i="33"/>
  <c r="B242" i="33"/>
  <c r="B240" i="33"/>
  <c r="B239" i="33"/>
  <c r="B238" i="33"/>
  <c r="B237" i="33"/>
  <c r="B236" i="33"/>
  <c r="B235" i="33"/>
  <c r="B234" i="33"/>
  <c r="B233" i="33"/>
  <c r="B233" i="31"/>
  <c r="B233" i="23"/>
  <c r="B233" i="28" s="1"/>
  <c r="B234" i="23"/>
  <c r="B234" i="28" s="1"/>
  <c r="B235" i="23"/>
  <c r="B235" i="28" s="1"/>
  <c r="B236" i="23"/>
  <c r="B236" i="28" s="1"/>
  <c r="B235" i="22"/>
  <c r="B236" i="22"/>
  <c r="B234" i="22"/>
  <c r="B233" i="22"/>
  <c r="B233" i="20"/>
  <c r="B234" i="20"/>
  <c r="B235" i="20"/>
  <c r="B236" i="20"/>
  <c r="B236" i="18"/>
  <c r="B233" i="18"/>
  <c r="B234" i="18"/>
  <c r="B235" i="18"/>
  <c r="B232" i="33"/>
  <c r="B231" i="33"/>
  <c r="B230" i="33"/>
  <c r="B228" i="33"/>
  <c r="B229" i="33"/>
  <c r="B227" i="33"/>
  <c r="B226" i="33"/>
  <c r="B225" i="33"/>
  <c r="B224" i="33"/>
  <c r="B223" i="33"/>
  <c r="B222" i="33"/>
  <c r="B221" i="33"/>
  <c r="B220" i="33"/>
  <c r="B219" i="33"/>
  <c r="B218" i="33"/>
  <c r="B217" i="33"/>
  <c r="B216" i="33"/>
  <c r="B215" i="33"/>
  <c r="B214" i="33"/>
  <c r="B213" i="33"/>
  <c r="B212" i="33"/>
  <c r="B211" i="33"/>
  <c r="B210" i="33"/>
  <c r="B209" i="33"/>
  <c r="B208" i="33"/>
  <c r="B207" i="33"/>
  <c r="B206" i="33"/>
  <c r="B205" i="33"/>
  <c r="B204" i="33"/>
  <c r="B203" i="33"/>
  <c r="B202" i="33"/>
  <c r="B201" i="33"/>
  <c r="B200" i="33"/>
  <c r="B183" i="33"/>
  <c r="B182" i="33"/>
  <c r="B181" i="33"/>
  <c r="B180" i="33"/>
  <c r="B179" i="33"/>
  <c r="B178" i="33" s="1"/>
  <c r="B99" i="33"/>
  <c r="B100" i="33"/>
  <c r="B98" i="33"/>
  <c r="B97" i="33"/>
  <c r="B96" i="33"/>
  <c r="B95" i="33"/>
  <c r="B94" i="33"/>
  <c r="B93" i="33"/>
  <c r="B92" i="33"/>
  <c r="B91" i="33"/>
  <c r="B90" i="33"/>
  <c r="B89" i="33"/>
  <c r="B88" i="33"/>
  <c r="B87" i="33"/>
  <c r="B86" i="33"/>
  <c r="B85" i="33"/>
  <c r="B84" i="33"/>
  <c r="B83" i="33"/>
  <c r="B82" i="33"/>
  <c r="B81" i="33"/>
  <c r="B80" i="33"/>
  <c r="B79" i="33"/>
  <c r="B161" i="27"/>
  <c r="B156" i="28"/>
  <c r="B159" i="28"/>
  <c r="B163" i="28"/>
  <c r="B161" i="23"/>
  <c r="B161" i="28" s="1"/>
  <c r="B162" i="23"/>
  <c r="B162" i="28" s="1"/>
  <c r="B160" i="23"/>
  <c r="B160" i="28" s="1"/>
  <c r="B159" i="23"/>
  <c r="B158" i="23"/>
  <c r="B158" i="28" s="1"/>
  <c r="B157" i="23"/>
  <c r="B157" i="28" s="1"/>
  <c r="B156" i="23"/>
  <c r="B156" i="20"/>
  <c r="B156" i="31" s="1"/>
  <c r="B163" i="20"/>
  <c r="B163" i="31" s="1"/>
  <c r="B162" i="20"/>
  <c r="B162" i="31" s="1"/>
  <c r="B160" i="20"/>
  <c r="B160" i="31" s="1"/>
  <c r="B161" i="20"/>
  <c r="B159" i="20"/>
  <c r="B159" i="31" s="1"/>
  <c r="B158" i="20"/>
  <c r="B158" i="31" s="1"/>
  <c r="B157" i="20"/>
  <c r="B156" i="18"/>
  <c r="B156" i="30" s="1"/>
  <c r="B163" i="18"/>
  <c r="B163" i="29" s="1"/>
  <c r="B162" i="18"/>
  <c r="B162" i="29" s="1"/>
  <c r="B161" i="18"/>
  <c r="B161" i="29" s="1"/>
  <c r="B160" i="18"/>
  <c r="B160" i="29" s="1"/>
  <c r="B159" i="18"/>
  <c r="B159" i="30" s="1"/>
  <c r="B158" i="18"/>
  <c r="B158" i="30" s="1"/>
  <c r="B157" i="18"/>
  <c r="B157" i="30" s="1"/>
  <c r="B154" i="31"/>
  <c r="B155" i="31"/>
  <c r="B155" i="30"/>
  <c r="B154" i="30"/>
  <c r="B154" i="29"/>
  <c r="B155" i="29"/>
  <c r="B154" i="28"/>
  <c r="B155" i="28"/>
  <c r="B154" i="24"/>
  <c r="B155" i="24"/>
  <c r="B153" i="23"/>
  <c r="B151" i="23"/>
  <c r="B152" i="23"/>
  <c r="B149" i="23"/>
  <c r="B150" i="23"/>
  <c r="B147" i="23"/>
  <c r="B148" i="23"/>
  <c r="B145" i="23"/>
  <c r="B146" i="23"/>
  <c r="B153" i="22"/>
  <c r="B153" i="28" s="1"/>
  <c r="B152" i="22"/>
  <c r="B151" i="22"/>
  <c r="B150" i="22"/>
  <c r="B149" i="22"/>
  <c r="B148" i="22"/>
  <c r="B147" i="22"/>
  <c r="B146" i="22"/>
  <c r="B145" i="22"/>
  <c r="B145" i="20"/>
  <c r="B145" i="31" s="1"/>
  <c r="B146" i="20"/>
  <c r="B146" i="31" s="1"/>
  <c r="B147" i="20"/>
  <c r="B148" i="20"/>
  <c r="B149" i="20"/>
  <c r="B150" i="20"/>
  <c r="B151" i="20"/>
  <c r="B152" i="20"/>
  <c r="B153" i="20"/>
  <c r="B153" i="31" s="1"/>
  <c r="B153" i="18"/>
  <c r="B153" i="29" s="1"/>
  <c r="B152" i="18"/>
  <c r="B152" i="29" s="1"/>
  <c r="B151" i="18"/>
  <c r="B151" i="29" s="1"/>
  <c r="B150" i="18"/>
  <c r="B150" i="30" s="1"/>
  <c r="B149" i="18"/>
  <c r="B149" i="30" s="1"/>
  <c r="B148" i="18"/>
  <c r="B147" i="18"/>
  <c r="B145" i="18"/>
  <c r="B146" i="18"/>
  <c r="B146" i="24" s="1"/>
  <c r="B235" i="30" l="1"/>
  <c r="B235" i="24"/>
  <c r="B234" i="30"/>
  <c r="B234" i="24"/>
  <c r="B233" i="30"/>
  <c r="B233" i="24"/>
  <c r="B236" i="30"/>
  <c r="B236" i="24"/>
  <c r="B161" i="31"/>
  <c r="B145" i="28"/>
  <c r="B146" i="28"/>
  <c r="B151" i="28"/>
  <c r="B152" i="28"/>
  <c r="B236" i="29"/>
  <c r="B233" i="29"/>
  <c r="B235" i="29"/>
  <c r="B234" i="29"/>
  <c r="B147" i="24"/>
  <c r="B157" i="31"/>
  <c r="B148" i="28"/>
  <c r="B150" i="28"/>
  <c r="B145" i="29"/>
  <c r="B147" i="28"/>
  <c r="B149" i="28"/>
  <c r="B148" i="29"/>
  <c r="B159" i="24"/>
  <c r="B158" i="24"/>
  <c r="B152" i="30"/>
  <c r="B147" i="29"/>
  <c r="B157" i="24"/>
  <c r="B159" i="29"/>
  <c r="B163" i="30"/>
  <c r="B160" i="30"/>
  <c r="B158" i="29"/>
  <c r="B157" i="29"/>
  <c r="B156" i="29"/>
  <c r="B156" i="24"/>
  <c r="B163" i="24"/>
  <c r="B162" i="24"/>
  <c r="B161" i="24"/>
  <c r="B162" i="30"/>
  <c r="B161" i="30"/>
  <c r="B146" i="29"/>
  <c r="B151" i="24"/>
  <c r="B151" i="30"/>
  <c r="B150" i="24"/>
  <c r="B148" i="30"/>
  <c r="B149" i="24"/>
  <c r="B147" i="30"/>
  <c r="B160" i="24"/>
  <c r="B148" i="24"/>
  <c r="B146" i="30"/>
  <c r="B152" i="24"/>
  <c r="B150" i="29"/>
  <c r="B149" i="29"/>
  <c r="B152" i="31"/>
  <c r="B151" i="31"/>
  <c r="B150" i="31"/>
  <c r="B149" i="31"/>
  <c r="B148" i="31"/>
  <c r="B147" i="31"/>
  <c r="B153" i="21"/>
  <c r="B153" i="24"/>
  <c r="B145" i="30"/>
  <c r="B153" i="30"/>
  <c r="B145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tc={609EBF13-C1C8-4A0D-A4AF-E6B3FE18D4C3}</author>
    <author>tc={C9F91B07-A887-4ED5-89E2-5B68AACBAFA9}</author>
  </authors>
  <commentList>
    <comment ref="B145" authorId="0" shapeId="0" xr:uid="{609EBF13-C1C8-4A0D-A4AF-E6B3FE18D4C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# Empleados</t>
      </text>
    </comment>
    <comment ref="B233" authorId="1" shapeId="0" xr:uid="{C9F91B07-A887-4ED5-89E2-5B68AACBAFA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# Empleados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tc={16263C49-CE11-49E5-A6A7-5D17F02C5D65}</author>
  </authors>
  <commentList>
    <comment ref="B145" authorId="0" shapeId="0" xr:uid="{16263C49-CE11-49E5-A6A7-5D17F02C5D6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((Nuevo - Viejo) / absoluto Viejo) * 100
Tipo de cambio promedio para el año de: https://fred.stlouisfed.org/series/DEXCHUS
Dato sacado de los reportes anuales de la empresa.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tc={5C6D7274-D250-4A25-BCFD-0FCCDC3A3F25}</author>
    <author>tc={833B2BF8-B583-4186-9938-E02A4F713498}</author>
  </authors>
  <commentList>
    <comment ref="B145" authorId="0" shapeId="0" xr:uid="{5C6D7274-D250-4A25-BCFD-0FCCDC3A3F2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 Multiplicado por el “net profit margin”</t>
      </text>
    </comment>
    <comment ref="B233" authorId="1" shapeId="0" xr:uid="{833B2BF8-B583-4186-9938-E02A4F71349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0.89099387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tc={1E6D2181-5FC3-4410-993C-0E1FAFD60F48}</author>
    <author>tc={846E4C3C-25DA-42E7-B083-2DE72B55CAAC}</author>
  </authors>
  <commentList>
    <comment ref="B145" authorId="0" shapeId="0" xr:uid="{1E6D2181-5FC3-4410-993C-0E1FAFD60F4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((Nuevo-Viejo)/Viejo)*100</t>
      </text>
    </comment>
    <comment ref="B241" authorId="1" shapeId="0" xr:uid="{846E4C3C-25DA-42E7-B083-2DE72B55CAA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 bajada drastica en ventas, es por la escisión de Delphi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tc={0FAAA81F-675F-4144-B51A-7C9DC9B17A0A}</author>
    <author>tc={AAE7422A-3C0E-46E5-AAD5-3B4D5F7037D0}</author>
    <author>tc={B51BF64B-996B-4E6A-B289-783FA07AE597}</author>
    <author>tc={BE303371-10BF-4117-B7FB-68A5CC35049E}</author>
  </authors>
  <commentList>
    <comment ref="B145" authorId="0" shapeId="0" xr:uid="{0FAAA81F-675F-4144-B51A-7C9DC9B17A0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163" authorId="1" shapeId="0" xr:uid="{AAE7422A-3C0E-46E5-AAD5-3B4D5F7037D0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Annual Reports pasan a millones</t>
      </text>
    </comment>
    <comment ref="B233" authorId="2" shapeId="0" xr:uid="{B51BF64B-996B-4E6A-B289-783FA07AE59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0.89099387</t>
      </text>
    </comment>
    <comment ref="B241" authorId="3" shapeId="0" xr:uid="{BE303371-10BF-4117-B7FB-68A5CC35049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La bajada drastica en ventas, es por la escisión de Delphi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tc={0D97FD5C-AB30-4431-A96C-288B1CAEEEB5}</author>
    <author>tc={B9D22CC7-C6D2-4065-B968-87C1C5616CEC}</author>
  </authors>
  <commentList>
    <comment ref="B145" authorId="0" shapeId="0" xr:uid="{0D97FD5C-AB30-4431-A96C-288B1CAEEEB5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#Empleados</t>
      </text>
    </comment>
    <comment ref="B233" authorId="1" shapeId="0" xr:uid="{B9D22CC7-C6D2-4065-B968-87C1C5616CE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#Empleados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tc={B3B7EC63-E4E5-439F-8BAA-04B46692BFF9}</author>
    <author>tc={77A982C1-D1A4-4580-9360-BF5691225A8F}</author>
  </authors>
  <commentList>
    <comment ref="B145" authorId="0" shapeId="0" xr:uid="{B3B7EC63-E4E5-439F-8BAA-04B46692BFF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Activos</t>
      </text>
    </comment>
    <comment ref="B233" authorId="1" shapeId="0" xr:uid="{77A982C1-D1A4-4580-9360-BF5691225A8F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Ventas / Activos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tc={B9C8D7F9-637D-4DCC-8670-BE97391FA9D3}</author>
    <author>tc={713776C2-78B5-4E2F-9786-5EC7B326A6B8}</author>
  </authors>
  <commentList>
    <comment ref="B145" authorId="0" shapeId="0" xr:uid="{B9C8D7F9-637D-4DCC-8670-BE97391FA9D3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Activos / Capital de accionistas</t>
      </text>
    </comment>
    <comment ref="B233" authorId="1" shapeId="0" xr:uid="{713776C2-78B5-4E2F-9786-5EC7B326A6B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Activos / Capital de accionistas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tc={928E2EE9-9E4B-409A-8D8D-131A464B3E72}</author>
    <author>tc={0D6507BE-6A78-437C-B8C8-7945FD0117E9}</author>
  </authors>
  <commentList>
    <comment ref="B145" authorId="0" shapeId="0" xr:uid="{928E2EE9-9E4B-409A-8D8D-131A464B3E72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Dato sacado de los reportes anuales de la empresa.</t>
      </text>
    </comment>
    <comment ref="B161" authorId="1" shapeId="0" xr:uid="{0D6507BE-6A78-437C-B8C8-7945FD0117E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Solar City Adquisición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tc={CFE237F1-1C55-4467-8DEB-8947CD5AE198}</author>
  </authors>
  <commentList>
    <comment ref="B145" authorId="0" shapeId="0" xr:uid="{CFE237F1-1C55-4467-8DEB-8947CD5AE198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Utilidad / Activos *100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tc={82362E64-F9D7-4F51-89F6-19003795C58C}</author>
    <author>tc={ADAA9FA7-1BCC-4F4F-B967-FC32B1DBB059}</author>
  </authors>
  <commentList>
    <comment ref="B145" authorId="0" shapeId="0" xr:uid="{82362E64-F9D7-4F51-89F6-19003795C58C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(Utilidad / Ingresos) * 100</t>
      </text>
    </comment>
    <comment ref="B233" authorId="1" shapeId="0" xr:uid="{ADAA9FA7-1BCC-4F4F-B967-FC32B1DBB05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.89099387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tc={4B35757C-6216-4373-8568-9723D4F33D24}</author>
    <author>tc={003CC685-1CEA-40C3-B902-062B81F6D438}</author>
  </authors>
  <commentList>
    <comment ref="B145" authorId="0" shapeId="0" xr:uid="{4B35757C-6216-4373-8568-9723D4F33D2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233" authorId="1" shapeId="0" xr:uid="{003CC685-1CEA-40C3-B902-062B81F6D438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.89099387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tc={1E7E742C-E98C-4797-885D-3C61B90AD989}</author>
    <author>tc={6484206B-2BEC-4C97-9FBD-A44FD467B764}</author>
  </authors>
  <commentList>
    <comment ref="B145" authorId="0" shapeId="0" xr:uid="{1E7E742C-E98C-4797-885D-3C61B90AD989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Tipo de cambio promedio para el año de: https://fred.stlouisfed.org/series/DEXCHUS
Dato sacado de los reportes anuales de la empresa.</t>
      </text>
    </comment>
    <comment ref="B233" authorId="1" shapeId="0" xr:uid="{6484206B-2BEC-4C97-9FBD-A44FD467B76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TC promedio del periodo a USD, tomando base de Investing, para 2019 0.89099387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488330-3FB4-4422-B589-4462ED426EEC}" keepAlive="1" name="Consulta - Activos_Millones" description="Conexión a la consulta 'Activos_Millones' en el libro." type="5" refreshedVersion="0" background="1">
    <dbPr connection="Provider=Microsoft.Mashup.OleDb.1;Data Source=$Workbook$;Location=Activos_Millones;Extended Properties=&quot;&quot;" command="SELECT * FROM [Activos_Millones]"/>
  </connection>
  <connection id="2" xr16:uid="{8590B9EA-0CAF-4A91-B6DE-39F671F76849}" keepAlive="1" name="Consulta - Capital_accs _Millones" description="Conexión a la consulta 'Capital_accs _Millones' en el libro." type="5" refreshedVersion="0" background="1">
    <dbPr connection="Provider=Microsoft.Mashup.OleDb.1;Data Source=$Workbook$;Location=&quot;Capital_accs _Millones&quot;;Extended Properties=&quot;&quot;" command="SELECT * FROM [Capital_accs _Millones]"/>
  </connection>
  <connection id="3" xr16:uid="{4151F09A-B102-4E0E-9F10-863162E8C5D3}" keepAlive="1" name="Consulta - Empleados" description="Conexión a la consulta 'Empleados' en el libro." type="5" refreshedVersion="0" background="1">
    <dbPr connection="Provider=Microsoft.Mashup.OleDb.1;Data Source=$Workbook$;Location=Empleados;Extended Properties=&quot;&quot;" command="SELECT * FROM [Empleados]"/>
  </connection>
  <connection id="4" xr16:uid="{D67C7B94-3957-41F0-9221-6BD34B4B10B7}" keepAlive="1" name="Consulta - Ingreso_%_cambio_año_anteri" description="Conexión a la consulta 'Ingreso_%_cambio_año_anteri' en el libro." type="5" refreshedVersion="0" background="1">
    <dbPr connection="Provider=Microsoft.Mashup.OleDb.1;Data Source=$Workbook$;Location=Ingreso_%_cambio_año_anteri;Extended Properties=&quot;&quot;" command="SELECT * FROM [Ingreso_%_cambio_año_anteri]"/>
  </connection>
  <connection id="5" xr16:uid="{DFB75F39-34C4-45A5-9CEA-AFD33677751F}" keepAlive="1" name="Consulta - Ingresos_Millones" description="Conexión a la consulta 'Ingresos_Millones' en el libro." type="5" refreshedVersion="0" background="1">
    <dbPr connection="Provider=Microsoft.Mashup.OleDb.1;Data Source=$Workbook$;Location=Ingresos_Millones;Extended Properties=&quot;&quot;" command="SELECT * FROM [Ingresos_Millones]"/>
  </connection>
  <connection id="6" xr16:uid="{967761F2-55EF-4149-94A1-5E171CE32C9A}" keepAlive="1" name="Consulta - Multiplicador_capital" description="Conexión a la consulta 'Multiplicador_capital' en el libro." type="5" refreshedVersion="0" background="1">
    <dbPr connection="Provider=Microsoft.Mashup.OleDb.1;Data Source=$Workbook$;Location=Multiplicador_capital;Extended Properties=&quot;&quot;" command="SELECT * FROM [Multiplicador_capital]"/>
  </connection>
  <connection id="7" xr16:uid="{8CB2C784-92EC-4AE4-9EA5-87F93BEE9592}" keepAlive="1" name="Consulta - Panel" description="Conexión a la consulta 'Panel' en el libro." type="5" refreshedVersion="8" background="1" saveData="1">
    <dbPr connection="Provider=Microsoft.Mashup.OleDb.1;Data Source=$Workbook$;Location=Panel;Extended Properties=&quot;&quot;" command="SELECT * FROM [Panel]"/>
  </connection>
  <connection id="8" xr16:uid="{043ABFC3-4BC9-4971-A3B9-1351FFC20D96}" keepAlive="1" name="Consulta - Resultado_año_empleado" description="Conexión a la consulta 'Resultado_año_empleado' en el libro." type="5" refreshedVersion="0" background="1">
    <dbPr connection="Provider=Microsoft.Mashup.OleDb.1;Data Source=$Workbook$;Location=Resultado_año_empleado;Extended Properties=&quot;&quot;" command="SELECT * FROM [Resultado_año_empleado]"/>
  </connection>
  <connection id="9" xr16:uid="{DC608AFC-EF19-4C06-94CD-A1C0DA22A88D}" keepAlive="1" name="Consulta - ROE" description="Conexión a la consulta 'ROE' en el libro." type="5" refreshedVersion="0" background="1">
    <dbPr connection="Provider=Microsoft.Mashup.OleDb.1;Data Source=$Workbook$;Location=ROE;Extended Properties=&quot;&quot;" command="SELECT * FROM [ROE]"/>
  </connection>
  <connection id="10" xr16:uid="{3FE5E897-471E-4596-B429-35A486562B04}" keepAlive="1" name="Consulta - Rotación_activos" description="Conexión a la consulta 'Rotación_activos' en el libro." type="5" refreshedVersion="0" background="1">
    <dbPr connection="Provider=Microsoft.Mashup.OleDb.1;Data Source=$Workbook$;Location=Rotación_activos;Extended Properties=&quot;&quot;" command="SELECT * FROM [Rotación_activos]"/>
  </connection>
  <connection id="11" xr16:uid="{E92F9451-7C04-42A1-A529-84882081EED7}" keepAlive="1" name="Consulta - Utilidad_%_activos" description="Conexión a la consulta 'Utilidad_%_activos' en el libro." type="5" refreshedVersion="0" background="1">
    <dbPr connection="Provider=Microsoft.Mashup.OleDb.1;Data Source=$Workbook$;Location=Utilidad_%_activos;Extended Properties=&quot;&quot;" command="SELECT * FROM [Utilidad_%_activos]"/>
  </connection>
  <connection id="12" xr16:uid="{68485D01-93F9-4D44-A260-F00556247439}" keepAlive="1" name="Consulta - Utilidad_%_cambio_año_anter" description="Conexión a la consulta 'Utilidad_%_cambio_año_anter' en el libro." type="5" refreshedVersion="8" background="1" saveData="1">
    <dbPr connection="Provider=Microsoft.Mashup.OleDb.1;Data Source=$Workbook$;Location=Utilidad_%_cambio_año_anter;Extended Properties=&quot;&quot;" command="SELECT * FROM [Utilidad_%_cambio_año_anter]"/>
  </connection>
  <connection id="13" xr16:uid="{7A4C2FB1-AEE1-4CC1-8368-24FCA59410AE}" keepAlive="1" name="Consulta - Utilidad_%_ventas" description="Conexión a la consulta 'Utilidad_%_ventas' en el libro." type="5" refreshedVersion="8" background="1" saveData="1">
    <dbPr connection="Provider=Microsoft.Mashup.OleDb.1;Data Source=$Workbook$;Location=Utilidad_%_ventas;Extended Properties=&quot;&quot;" command="SELECT * FROM [Utilidad_%_ventas]"/>
  </connection>
  <connection id="14" xr16:uid="{A0947FF6-84B5-45FC-B032-AA9EA43CE4A3}" keepAlive="1" name="Consulta - Utilidad_Millones" description="Conexión a la consulta 'Utilidad_Millones' en el libro." type="5" refreshedVersion="8" background="1" saveData="1">
    <dbPr connection="Provider=Microsoft.Mashup.OleDb.1;Data Source=$Workbook$;Location=Utilidad_Millones;Extended Properties=&quot;&quot;" command="SELECT * FROM [Utilidad_Millones]"/>
  </connection>
  <connection id="15" xr16:uid="{7D21DFBA-F51A-4B29-B496-C784F25C8C10}" keepAlive="1" name="Consulta - Valor_mercado_millones" description="Conexión a la consulta 'Valor_mercado_millones' en el libro." type="5" refreshedVersion="8" background="1" saveData="1">
    <dbPr connection="Provider=Microsoft.Mashup.OleDb.1;Data Source=$Workbook$;Location=Valor_mercado_millones;Extended Properties=&quot;&quot;" command="SELECT * FROM [Valor_mercado_millones]"/>
  </connection>
  <connection id="16" xr16:uid="{2A556B0F-6BDB-4420-849C-BED2D06CCD55}" keepAlive="1" name="Consulta - Ventas_empleado" description="Conexión a la consulta 'Ventas_empleado' en el libro." type="5" refreshedVersion="8" background="1" saveData="1">
    <dbPr connection="Provider=Microsoft.Mashup.OleDb.1;Data Source=$Workbook$;Location=Ventas_empleado;Extended Properties=&quot;&quot;" command="SELECT * FROM [Ventas_empleado]"/>
  </connection>
</connections>
</file>

<file path=xl/sharedStrings.xml><?xml version="1.0" encoding="utf-8"?>
<sst xmlns="http://schemas.openxmlformats.org/spreadsheetml/2006/main" count="4432" uniqueCount="282">
  <si>
    <t>BMW Group 2011</t>
  </si>
  <si>
    <t>BMW Group 2012</t>
  </si>
  <si>
    <t>BMW Group 2013</t>
  </si>
  <si>
    <t>BMW Group 2014</t>
  </si>
  <si>
    <t>BMW Group 2015</t>
  </si>
  <si>
    <t>BMW Group 2016</t>
  </si>
  <si>
    <t>BMW Group 2017</t>
  </si>
  <si>
    <t>BMW Group 2019</t>
  </si>
  <si>
    <t>BMW Group 2020</t>
  </si>
  <si>
    <t>BMW Group 2021</t>
  </si>
  <si>
    <t>BMW Group 2022</t>
  </si>
  <si>
    <t>Continental 2011</t>
  </si>
  <si>
    <t>Continental 2012</t>
  </si>
  <si>
    <t>Continental 2013</t>
  </si>
  <si>
    <t>Continental 2014</t>
  </si>
  <si>
    <t>Continental 2015</t>
  </si>
  <si>
    <t>Continental 2016</t>
  </si>
  <si>
    <t>Continental 2018</t>
  </si>
  <si>
    <t>Continental 2019</t>
  </si>
  <si>
    <t>Continental 2020</t>
  </si>
  <si>
    <t>Continental 2021</t>
  </si>
  <si>
    <t>Continental 2022</t>
  </si>
  <si>
    <t>Denso 2011</t>
  </si>
  <si>
    <t>Denso 2012</t>
  </si>
  <si>
    <t>Denso 2013</t>
  </si>
  <si>
    <t>Denso 2014</t>
  </si>
  <si>
    <t>Denso 2015</t>
  </si>
  <si>
    <t>Denso 2016</t>
  </si>
  <si>
    <t>Denso 2018</t>
  </si>
  <si>
    <t>Denso 2019</t>
  </si>
  <si>
    <t>Denso 2020</t>
  </si>
  <si>
    <t>Denso 2021</t>
  </si>
  <si>
    <t>Denso 2022</t>
  </si>
  <si>
    <t>Ford Motor 2011</t>
  </si>
  <si>
    <t>Ford Motor 2012</t>
  </si>
  <si>
    <t>Ford Motor 2013</t>
  </si>
  <si>
    <t>Ford Motor 2014</t>
  </si>
  <si>
    <t>Ford Motor 2015</t>
  </si>
  <si>
    <t>Ford Motor 2016</t>
  </si>
  <si>
    <t>Ford Motor 2018</t>
  </si>
  <si>
    <t>Ford Motor 2019</t>
  </si>
  <si>
    <t>Ford Motor 2020</t>
  </si>
  <si>
    <t>Ford Motor 2021</t>
  </si>
  <si>
    <t>Ford Motor 2022</t>
  </si>
  <si>
    <t>General Motors 2011</t>
  </si>
  <si>
    <t>General Motors 2012</t>
  </si>
  <si>
    <t>General Motors 2013</t>
  </si>
  <si>
    <t>General Motors 2014</t>
  </si>
  <si>
    <t>General Motors 2015</t>
  </si>
  <si>
    <t>General Motors 2016</t>
  </si>
  <si>
    <t>General Motors 2018</t>
  </si>
  <si>
    <t>General Motors 2019</t>
  </si>
  <si>
    <t>General Motors 2020</t>
  </si>
  <si>
    <t>General Motors 2021</t>
  </si>
  <si>
    <t>General Motors 2022</t>
  </si>
  <si>
    <t>Hitachi 2011</t>
  </si>
  <si>
    <t>Hitachi 2012</t>
  </si>
  <si>
    <t>Hitachi 2013</t>
  </si>
  <si>
    <t>Hitachi 2014</t>
  </si>
  <si>
    <t>Hitachi 2015</t>
  </si>
  <si>
    <t>Hitachi 2016</t>
  </si>
  <si>
    <t>Hitachi 2018</t>
  </si>
  <si>
    <t>Hitachi 2019</t>
  </si>
  <si>
    <t>Hitachi 2020</t>
  </si>
  <si>
    <t>Hitachi 2021</t>
  </si>
  <si>
    <t>Hitachi 2022</t>
  </si>
  <si>
    <t>Honeywell International 2011</t>
  </si>
  <si>
    <t>Honeywell International 2012</t>
  </si>
  <si>
    <t>Honeywell International 2013</t>
  </si>
  <si>
    <t>Honeywell International 2014</t>
  </si>
  <si>
    <t>Honeywell International 2015</t>
  </si>
  <si>
    <t>Honeywell International 2016</t>
  </si>
  <si>
    <t>Honeywell International 2018</t>
  </si>
  <si>
    <t>Honeywell International 2019</t>
  </si>
  <si>
    <t>Honeywell International 2020</t>
  </si>
  <si>
    <t>Honeywell International 2021</t>
  </si>
  <si>
    <t>Honeywell International 2022</t>
  </si>
  <si>
    <t>Kia 2011</t>
  </si>
  <si>
    <t>Kia 2012</t>
  </si>
  <si>
    <t>Kia 2013</t>
  </si>
  <si>
    <t>Kia 2014</t>
  </si>
  <si>
    <t>Kia 2015</t>
  </si>
  <si>
    <t>Kia 2016</t>
  </si>
  <si>
    <t>Kia 2018</t>
  </si>
  <si>
    <t>Kia 2019</t>
  </si>
  <si>
    <t>Kia 2020</t>
  </si>
  <si>
    <t>Kia 2021</t>
  </si>
  <si>
    <t>Kia 2022</t>
  </si>
  <si>
    <t>LG Electronics 2011</t>
  </si>
  <si>
    <t>LG Electronics 2012</t>
  </si>
  <si>
    <t>LG Electronics 2013</t>
  </si>
  <si>
    <t>LG Electronics 2014</t>
  </si>
  <si>
    <t>LG Electronics 2015</t>
  </si>
  <si>
    <t>LG Electronics 2016</t>
  </si>
  <si>
    <t>LG Electronics 2018</t>
  </si>
  <si>
    <t>LG Electronics 2019</t>
  </si>
  <si>
    <t>LG Electronics 2020</t>
  </si>
  <si>
    <t>LG Electronics 2021</t>
  </si>
  <si>
    <t>LG Electronics 2022</t>
  </si>
  <si>
    <t>Nissan Motor 2011</t>
  </si>
  <si>
    <t>Nissan Motor 2012</t>
  </si>
  <si>
    <t>Nissan Motor 2013</t>
  </si>
  <si>
    <t>Nissan Motor 2014</t>
  </si>
  <si>
    <t>Nissan Motor 2015</t>
  </si>
  <si>
    <t>Nissan Motor 2016</t>
  </si>
  <si>
    <t>Nissan Motor 2018</t>
  </si>
  <si>
    <t>Nissan Motor 2019</t>
  </si>
  <si>
    <t>Nissan Motor 2020</t>
  </si>
  <si>
    <t>Nissan Motor 2021</t>
  </si>
  <si>
    <t>Nissan Motor 2022</t>
  </si>
  <si>
    <t>Panasonic Holdings 2011</t>
  </si>
  <si>
    <t>Panasonic Holdings 2012</t>
  </si>
  <si>
    <t>Panasonic Holdings 2013</t>
  </si>
  <si>
    <t>Panasonic Holdings 2014</t>
  </si>
  <si>
    <t>Panasonic Holdings 2015</t>
  </si>
  <si>
    <t>Panasonic Holdings 2016</t>
  </si>
  <si>
    <t>Panasonic Holdings 2018</t>
  </si>
  <si>
    <t>Panasonic Holdings 2019</t>
  </si>
  <si>
    <t>Panasonic Holdings 2020</t>
  </si>
  <si>
    <t>Panasonic Holdings 2021</t>
  </si>
  <si>
    <t>Panasonic Holdings 2022</t>
  </si>
  <si>
    <t>Samsung Electronics 2011</t>
  </si>
  <si>
    <t>Samsung Electronics 2012</t>
  </si>
  <si>
    <t>Samsung Electronics 2013</t>
  </si>
  <si>
    <t>Samsung Electronics 2014</t>
  </si>
  <si>
    <t>Samsung Electronics 2015</t>
  </si>
  <si>
    <t>Samsung Electronics 2016</t>
  </si>
  <si>
    <t>Samsung Electronics 2018</t>
  </si>
  <si>
    <t>Samsung Electronics 2019</t>
  </si>
  <si>
    <t>Samsung Electronics 2020</t>
  </si>
  <si>
    <t>Samsung Electronics 2021</t>
  </si>
  <si>
    <t>Samsung Electronics 2022</t>
  </si>
  <si>
    <t>Sony 2011</t>
  </si>
  <si>
    <t>Sony 2012</t>
  </si>
  <si>
    <t>Sony 2013</t>
  </si>
  <si>
    <t>Sony 2014</t>
  </si>
  <si>
    <t>Sony 2015</t>
  </si>
  <si>
    <t>Sony 2016</t>
  </si>
  <si>
    <t>Sony 2018</t>
  </si>
  <si>
    <t>Sony 2019</t>
  </si>
  <si>
    <t>Sony 2020</t>
  </si>
  <si>
    <t>Sony 2021</t>
  </si>
  <si>
    <t>Sony 2022</t>
  </si>
  <si>
    <t>BYD 2011</t>
  </si>
  <si>
    <t>BYD 2012</t>
  </si>
  <si>
    <t>BYD 2013</t>
  </si>
  <si>
    <t>BYD 2014</t>
  </si>
  <si>
    <t>BYD 2015</t>
  </si>
  <si>
    <t>BYD 2016</t>
  </si>
  <si>
    <t>BYD 2018</t>
  </si>
  <si>
    <t>BYD 2019</t>
  </si>
  <si>
    <t>BYD 2020</t>
  </si>
  <si>
    <t>BYD 2021</t>
  </si>
  <si>
    <t>BYD 2022</t>
  </si>
  <si>
    <t>Tesla 2011</t>
  </si>
  <si>
    <t>Tesla 2012</t>
  </si>
  <si>
    <t>Tesla 2013</t>
  </si>
  <si>
    <t>Tesla 2014</t>
  </si>
  <si>
    <t>Tesla 2015</t>
  </si>
  <si>
    <t>Tesla 2016</t>
  </si>
  <si>
    <t>Tesla 2018</t>
  </si>
  <si>
    <t>Tesla 2019</t>
  </si>
  <si>
    <t>Tesla 2020</t>
  </si>
  <si>
    <t>Tesla 2021</t>
  </si>
  <si>
    <t>Tesla 2022</t>
  </si>
  <si>
    <t>Volkswagen 2011</t>
  </si>
  <si>
    <t>Volkswagen 2012</t>
  </si>
  <si>
    <t>Volkswagen 2013</t>
  </si>
  <si>
    <t>Volkswagen 2014</t>
  </si>
  <si>
    <t>Volkswagen 2015</t>
  </si>
  <si>
    <t>Volkswagen 2016</t>
  </si>
  <si>
    <t>Volkswagen 2018</t>
  </si>
  <si>
    <t>Volkswagen 2019</t>
  </si>
  <si>
    <t>Volkswagen 2020</t>
  </si>
  <si>
    <t>Volkswagen 2021</t>
  </si>
  <si>
    <t>Volkswagen 2022</t>
  </si>
  <si>
    <t>Volvo 2011</t>
  </si>
  <si>
    <t>Volvo 2012</t>
  </si>
  <si>
    <t>Volvo 2013</t>
  </si>
  <si>
    <t>Volvo 2014</t>
  </si>
  <si>
    <t>Volvo 2015</t>
  </si>
  <si>
    <t>Volvo 2016</t>
  </si>
  <si>
    <t>Volvo 2018</t>
  </si>
  <si>
    <t>Volvo 2019</t>
  </si>
  <si>
    <t>Volvo 2020</t>
  </si>
  <si>
    <t>Volvo 2021</t>
  </si>
  <si>
    <t>Volvo 2022</t>
  </si>
  <si>
    <t>Geely 2011</t>
  </si>
  <si>
    <t>Geely 2012</t>
  </si>
  <si>
    <t>Geely 2013</t>
  </si>
  <si>
    <t>Geely 2014</t>
  </si>
  <si>
    <t>Geely 2015</t>
  </si>
  <si>
    <t>Geely 2016</t>
  </si>
  <si>
    <t>Geely 2018</t>
  </si>
  <si>
    <t>Geely 2019</t>
  </si>
  <si>
    <t>Geely 2020</t>
  </si>
  <si>
    <t>Geely 2021</t>
  </si>
  <si>
    <t>Geely 2022</t>
  </si>
  <si>
    <t>Hon Hai 2011</t>
  </si>
  <si>
    <t>Hon Hai 2012</t>
  </si>
  <si>
    <t>Hon Hai 2013</t>
  </si>
  <si>
    <t>Hon Hai 2014</t>
  </si>
  <si>
    <t>Hon Hai 2015</t>
  </si>
  <si>
    <t>Hon Hai 2016</t>
  </si>
  <si>
    <t>Hon Hai 2018</t>
  </si>
  <si>
    <t>Hon Hai 2019</t>
  </si>
  <si>
    <t>Hon Hai 2020</t>
  </si>
  <si>
    <t>Hon Hai 2021</t>
  </si>
  <si>
    <t>Hon Hai 2022</t>
  </si>
  <si>
    <t>Toyota Motor 2011</t>
  </si>
  <si>
    <t>Toyota Motor 2012</t>
  </si>
  <si>
    <t>Toyota Motor 2013</t>
  </si>
  <si>
    <t>Toyota Motor 2014</t>
  </si>
  <si>
    <t>Toyota Motor 2015</t>
  </si>
  <si>
    <t>Toyota Motor 2016</t>
  </si>
  <si>
    <t>Toyota Motor 2018</t>
  </si>
  <si>
    <t>Toyota Motor 2019</t>
  </si>
  <si>
    <t>Toyota Motor 2020</t>
  </si>
  <si>
    <t>Toyota Motor 2021</t>
  </si>
  <si>
    <t>Toyota Motor 2022</t>
  </si>
  <si>
    <t>Magna International 2011</t>
  </si>
  <si>
    <t>Magna International 2012</t>
  </si>
  <si>
    <t>Magna International 2013</t>
  </si>
  <si>
    <t>Magna International 2014</t>
  </si>
  <si>
    <t>Magna International 2015</t>
  </si>
  <si>
    <t>Magna International 2016</t>
  </si>
  <si>
    <t>Magna International 2018</t>
  </si>
  <si>
    <t>Magna International 2019</t>
  </si>
  <si>
    <t>Magna International 2020</t>
  </si>
  <si>
    <t>Magna International 2021</t>
  </si>
  <si>
    <t>Magna International 2022</t>
  </si>
  <si>
    <t>Valeo 2019</t>
  </si>
  <si>
    <t>Valeo 2020</t>
  </si>
  <si>
    <t>Valeo 2021</t>
  </si>
  <si>
    <t>Valeo 2022</t>
  </si>
  <si>
    <t>Aptiv 2013</t>
  </si>
  <si>
    <t>Aptiv 2014</t>
  </si>
  <si>
    <t>Aptiv 2015</t>
  </si>
  <si>
    <t>Aptiv 2016</t>
  </si>
  <si>
    <t>Aptiv 2017</t>
  </si>
  <si>
    <t>Aptiv 2019</t>
  </si>
  <si>
    <t>Aptiv 2020</t>
  </si>
  <si>
    <t>Aptiv 2021</t>
  </si>
  <si>
    <t>Aptiv 2022</t>
  </si>
  <si>
    <t>Qualcomm 2011</t>
  </si>
  <si>
    <t>Qualcomm 2012</t>
  </si>
  <si>
    <t>Qualcomm 2013</t>
  </si>
  <si>
    <t>Qualcomm 2014</t>
  </si>
  <si>
    <t>Qualcomm 2015</t>
  </si>
  <si>
    <t>Qualcomm 2016</t>
  </si>
  <si>
    <t>Qualcomm 2017</t>
  </si>
  <si>
    <t>Qualcomm 2019</t>
  </si>
  <si>
    <t>Qualcomm 2020</t>
  </si>
  <si>
    <t>Qualcomm 2021</t>
  </si>
  <si>
    <t>Qualcomm 2022</t>
  </si>
  <si>
    <t>Baidu 2011</t>
  </si>
  <si>
    <t>Baidu 2012</t>
  </si>
  <si>
    <t>Baidu 2013</t>
  </si>
  <si>
    <t>Baidu 2014</t>
  </si>
  <si>
    <t>Baidu 2015</t>
  </si>
  <si>
    <t>Baidu 2016</t>
  </si>
  <si>
    <t>Baidu 2017</t>
  </si>
  <si>
    <t>Baidu 2019</t>
  </si>
  <si>
    <t>Baidu 2020</t>
  </si>
  <si>
    <t>Baidu 2021</t>
  </si>
  <si>
    <t>Baidu 2022</t>
  </si>
  <si>
    <t>Texas Instruments 2011</t>
  </si>
  <si>
    <t>Texas Instruments 2012</t>
  </si>
  <si>
    <t>Texas Instruments 2013</t>
  </si>
  <si>
    <t>Texas Instruments 2014</t>
  </si>
  <si>
    <t>Texas Instruments 2015</t>
  </si>
  <si>
    <t>Texas Instruments 2016</t>
  </si>
  <si>
    <t>Texas Instruments 2017</t>
  </si>
  <si>
    <t>Texas Instruments 2019</t>
  </si>
  <si>
    <t>Texas Instruments 2020</t>
  </si>
  <si>
    <t>Texas Instruments 2021</t>
  </si>
  <si>
    <t>Texas Instruments 2022</t>
  </si>
  <si>
    <t>BMW Group 2018</t>
  </si>
  <si>
    <t>Aptiv 2018</t>
  </si>
  <si>
    <t>Qualcomm 2018</t>
  </si>
  <si>
    <t>Baidu 2018</t>
  </si>
  <si>
    <t>Texas Instruments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</si>
</sst>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#,##0.000"/>
  </numFmts>
  <fonts count="2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9"/>
      <color indexed="12"/>
      <name val="Geneva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Aptos Display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rial"/>
      <family val="2"/>
    </font>
    <font>
      <sz val="8"/>
      <color rgb="FF000000"/>
      <name val="Times New Roman"/>
      <family val="1"/>
    </font>
    <font>
      <sz val="10"/>
      <color rgb="FF212529"/>
      <name val="Segoe UI"/>
      <family val="2"/>
    </font>
    <font>
      <sz val="10"/>
      <color theme="1"/>
      <name val="Times New Roman"/>
      <family val="1"/>
    </font>
    <font>
      <sz val="9"/>
      <color theme="1"/>
      <name val="Inherit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9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5" fillId="3" borderId="0" applyNumberFormat="0" applyBorder="0" applyAlignment="0" applyProtection="0"/>
    <xf numFmtId="0" fontId="6" fillId="6" borderId="4" applyNumberFormat="0" applyAlignment="0" applyProtection="0"/>
    <xf numFmtId="0" fontId="7" fillId="7" borderId="7" applyNumberFormat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3" fillId="5" borderId="4" applyNumberFormat="0" applyAlignment="0" applyProtection="0"/>
    <xf numFmtId="0" fontId="14" fillId="0" borderId="6" applyNumberFormat="0" applyFill="0" applyAlignment="0" applyProtection="0"/>
    <xf numFmtId="0" fontId="15" fillId="4" borderId="0" applyNumberFormat="0" applyBorder="0" applyAlignment="0" applyProtection="0"/>
    <xf numFmtId="0" fontId="1" fillId="8" borderId="8" applyNumberFormat="0" applyFont="0" applyAlignment="0" applyProtection="0"/>
    <xf numFmtId="0" fontId="16" fillId="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21">
    <xf numFmtId="0" fontId="0" fillId="0" borderId="0" xfId="0"/>
    <xf numFmtId="0" fontId="20" fillId="33" borderId="10" xfId="0" applyFont="1" applyFill="1" applyBorder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165" fontId="0" fillId="35" borderId="0" xfId="0" applyNumberFormat="1" applyFill="1"/>
    <xf numFmtId="3" fontId="22" fillId="0" borderId="0" xfId="0" applyNumberFormat="1" applyFont="1"/>
    <xf numFmtId="3" fontId="0" fillId="35" borderId="0" xfId="0" applyNumberFormat="1" applyFill="1"/>
    <xf numFmtId="3" fontId="0" fillId="0" borderId="0" xfId="0" applyNumberFormat="1"/>
    <xf numFmtId="4" fontId="0" fillId="0" borderId="0" xfId="0" applyNumberFormat="1"/>
    <xf numFmtId="166" fontId="0" fillId="35" borderId="0" xfId="0" applyNumberFormat="1" applyFill="1"/>
    <xf numFmtId="4" fontId="0" fillId="35" borderId="0" xfId="0" applyNumberFormat="1" applyFill="1"/>
    <xf numFmtId="3" fontId="23" fillId="0" borderId="0" xfId="0" applyNumberFormat="1" applyFont="1"/>
    <xf numFmtId="0" fontId="24" fillId="0" borderId="0" xfId="0" applyFont="1"/>
    <xf numFmtId="0" fontId="0" fillId="36" borderId="0" xfId="0" applyFill="1"/>
    <xf numFmtId="0" fontId="0" fillId="34" borderId="0" xfId="0" applyFill="1" applyAlignment="1">
      <alignment horizontal="left"/>
    </xf>
    <xf numFmtId="0" fontId="0" fillId="37" borderId="0" xfId="0" applyFill="1"/>
    <xf numFmtId="0" fontId="0" fillId="37" borderId="0" xfId="0" applyFill="1" applyAlignment="1">
      <alignment horizontal="left"/>
    </xf>
    <xf numFmtId="0" fontId="25" fillId="0" borderId="0" xfId="0" applyFont="1" applyAlignment="1">
      <alignment wrapText="1"/>
    </xf>
    <xf numFmtId="3" fontId="26" fillId="0" borderId="0" xfId="0" applyNumberFormat="1" applyFont="1" applyAlignment="1">
      <alignment vertical="center" wrapText="1"/>
    </xf>
    <xf numFmtId="3" fontId="0" fillId="34" borderId="0" xfId="0" applyNumberFormat="1" applyFill="1"/>
  </cellXfs>
  <cellStyles count="49">
    <cellStyle name="20% - Accent1 2" xfId="5" xr:uid="{755CAA21-AA83-46F4-8B70-274E58B65C6F}"/>
    <cellStyle name="20% - Accent2 2" xfId="6" xr:uid="{2B0B4F23-A2F7-4F06-A6BD-ACF7092E5E5F}"/>
    <cellStyle name="20% - Accent3 2" xfId="7" xr:uid="{4BEB56BF-7B9E-42BD-A215-23F6F3FB16C9}"/>
    <cellStyle name="20% - Accent4 2" xfId="8" xr:uid="{ADE66E18-930D-4666-89DD-9AF8DBE684A6}"/>
    <cellStyle name="20% - Accent5 2" xfId="9" xr:uid="{3A44C4E3-9911-4C11-B455-C53526E1E746}"/>
    <cellStyle name="20% - Accent6 2" xfId="10" xr:uid="{91BBCB91-537A-4788-B5F2-6DBCBCAA6210}"/>
    <cellStyle name="40% - Accent1 2" xfId="11" xr:uid="{E9DE555F-4903-47AE-BA24-F26E31047316}"/>
    <cellStyle name="40% - Accent2 2" xfId="12" xr:uid="{20467E7B-840C-4122-86E8-2A19AD7D8E8E}"/>
    <cellStyle name="40% - Accent3 2" xfId="13" xr:uid="{F7F049A6-1939-4EAB-A4EE-B5C872AA96CD}"/>
    <cellStyle name="40% - Accent4 2" xfId="14" xr:uid="{BEA0C6CE-BED0-4792-9668-FD8CEA205378}"/>
    <cellStyle name="40% - Accent5 2" xfId="15" xr:uid="{89830722-8128-4239-99CC-3EDFCD7DDA07}"/>
    <cellStyle name="40% - Accent6 2" xfId="16" xr:uid="{5DDE7B60-E394-44EF-8AD6-A6C8D7A30FE7}"/>
    <cellStyle name="60% - Accent1 2" xfId="17" xr:uid="{621849B7-5F3C-458C-9A21-7CD2B9593B2E}"/>
    <cellStyle name="60% - Accent2 2" xfId="18" xr:uid="{D1AD635D-70DB-4FEE-8AAA-CF373E60D57E}"/>
    <cellStyle name="60% - Accent3 2" xfId="19" xr:uid="{936025D6-FC96-4CA6-AFA8-84D08F1EF3B3}"/>
    <cellStyle name="60% - Accent4 2" xfId="20" xr:uid="{A806EA4F-BA00-4463-AADE-D6F2F2B840CA}"/>
    <cellStyle name="60% - Accent5 2" xfId="21" xr:uid="{3A449B29-CBEB-471C-AE5E-40634F828789}"/>
    <cellStyle name="60% - Accent6 2" xfId="22" xr:uid="{A4E66445-F032-4F1B-A1E7-EE11943B22A0}"/>
    <cellStyle name="Accent1 2" xfId="23" xr:uid="{41CE8E5B-F580-4320-B1DB-A5DB25F675DB}"/>
    <cellStyle name="Accent2 2" xfId="24" xr:uid="{B3D1CFCE-1A69-4694-BA6A-61D10C3B2E0F}"/>
    <cellStyle name="Accent3 2" xfId="25" xr:uid="{76BF9174-9F59-4770-9291-E444B550BCAC}"/>
    <cellStyle name="Accent4 2" xfId="26" xr:uid="{12CA3EE5-2CE7-4589-8B87-F4D23964DDB9}"/>
    <cellStyle name="Accent5 2" xfId="27" xr:uid="{14C4BB61-BBA5-45F3-B4AD-36E0197D9168}"/>
    <cellStyle name="Accent6 2" xfId="28" xr:uid="{4422549D-64E7-4741-B246-7797121D5C0E}"/>
    <cellStyle name="Bad 2" xfId="29" xr:uid="{8C710D29-C6AE-45A4-9E69-4BB4967849A6}"/>
    <cellStyle name="Calculation 2" xfId="30" xr:uid="{7A15BE60-1CEC-4C17-A400-6FD9126464AE}"/>
    <cellStyle name="Check Cell 2" xfId="31" xr:uid="{08A3A7A8-383E-4699-94D1-6AEC3B8218A0}"/>
    <cellStyle name="Comma 2" xfId="2" xr:uid="{E5C18DE8-CC23-41B6-BF70-605BA6B24E38}"/>
    <cellStyle name="Comma 2 2" xfId="33" xr:uid="{8FFD46EC-26F9-404A-86F9-D6BD4A0E8220}"/>
    <cellStyle name="Comma 3" xfId="4" xr:uid="{BDFEF18D-DD29-47E8-B73E-599BDF438670}"/>
    <cellStyle name="Explanatory Text 2" xfId="34" xr:uid="{BC0C4B35-16C0-4BAC-BF4A-0FE29BC4695D}"/>
    <cellStyle name="Good 2" xfId="35" xr:uid="{4F34916C-33EB-480F-8B6D-11EEF0F3EDFE}"/>
    <cellStyle name="Heading 1 2" xfId="36" xr:uid="{3FE131FC-759B-4856-83EE-E96AA2958615}"/>
    <cellStyle name="Heading 2 2" xfId="37" xr:uid="{255CB0C3-7C2E-4EA3-B7A3-BC757E99A764}"/>
    <cellStyle name="Heading 3 2" xfId="38" xr:uid="{758F6EE6-EABC-4E95-92E6-5E73ECA8636A}"/>
    <cellStyle name="Heading 4 2" xfId="39" xr:uid="{0D7DFD52-F15E-4C1B-A8ED-2A271BED4C68}"/>
    <cellStyle name="Hipervínculo 2" xfId="40" xr:uid="{F26BCD04-FF08-4B8D-921A-46534FE93AE4}"/>
    <cellStyle name="Input 2" xfId="41" xr:uid="{F453F300-4690-4954-9B96-22D561673012}"/>
    <cellStyle name="Linked Cell 2" xfId="42" xr:uid="{4525FB1A-D046-4285-860C-269E51159E6A}"/>
    <cellStyle name="Millares 2" xfId="32" xr:uid="{438960D9-4721-4E52-B978-74A9659D6AC2}"/>
    <cellStyle name="Neutral 2" xfId="43" xr:uid="{DA544EA3-6905-4204-A858-38716D4D0B3B}"/>
    <cellStyle name="Normal" xfId="0" builtinId="0"/>
    <cellStyle name="Normal 2" xfId="1" xr:uid="{2BA45D8E-2656-4C6F-89FF-BD8D94F30CA5}"/>
    <cellStyle name="Normal 3" xfId="3" xr:uid="{E88C1ED4-29BF-4F57-8A14-7B8B01CAC4B4}"/>
    <cellStyle name="Note 2" xfId="44" xr:uid="{18CE2E9A-345A-4938-9497-A718D1268EE3}"/>
    <cellStyle name="Output 2" xfId="45" xr:uid="{8208947B-1B4D-491D-BC6B-76A1C50E8E49}"/>
    <cellStyle name="Título 4" xfId="46" xr:uid="{2B992555-2B0A-4CE7-A5BF-21CE51BEAA94}"/>
    <cellStyle name="Total 2" xfId="47" xr:uid="{5169E1D3-8568-4D43-9609-B792E95601D9}"/>
    <cellStyle name="Warning Text 2" xfId="48" xr:uid="{2056136B-117E-4BCD-888D-77C19C7C7E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ARMANDO ABREU ROSIQUE" id="{1A271C27-9C38-4936-A314-FC4D113F5D17}" userId="S::davidabreu1110@comunidad.unam.mx::50a4e8c0-e0af-409f-a0fc-0dd832b3f53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5" dT="2025-06-30T20:58:20.55" personId="{1A271C27-9C38-4936-A314-FC4D113F5D17}" id="{609EBF13-C1C8-4A0D-A4AF-E6B3FE18D4C3}">
    <text>Utilidad / # Empleados</text>
  </threadedComment>
  <threadedComment ref="B233" dT="2025-06-30T20:58:20.55" personId="{1A271C27-9C38-4936-A314-FC4D113F5D17}" id="{C9F91B07-A887-4ED5-89E2-5B68AACBAFA9}">
    <text>Utilidad / # Empleados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145" dT="2025-06-30T20:31:40.49" personId="{1A271C27-9C38-4936-A314-FC4D113F5D17}" id="{16263C49-CE11-49E5-A6A7-5D17F02C5D65}">
    <text>((Nuevo - Viejo) / absoluto Viejo) * 100
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334659593</xltc2:checksum>
        <xltc2:hyperlink startIndex="82" length="42" url="https://fred.stlouisfed.org/series/DEXCHUS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5C6D7274-D250-4A25-BCFD-0FCCDC3A3F25}">
    <text>Tipo de cambio promedio para el año de: https://fred.stlouisfed.org/series/DEXCHUS
Dato sacado de los reportes anuales de la empresa. Multiplicado por el “net profit margin”</text>
    <extLst>
      <x:ext xmlns:xltc2="http://schemas.microsoft.com/office/spreadsheetml/2020/threadedcomments2" uri="{F7C98A9C-CBB3-438F-8F68-D28B6AF4A901}">
        <xltc2:checksum>603837834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833B2BF8-B583-4186-9938-E02A4F713498}">
    <text>TC promedio del periodo a USD, tomando base de Investing, 0.89099387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B145" dT="2025-06-30T20:20:06.99" personId="{1A271C27-9C38-4936-A314-FC4D113F5D17}" id="{1E6D2181-5FC3-4410-993C-0E1FAFD60F48}">
    <text>((Nuevo-Viejo)/Viejo)*100</text>
  </threadedComment>
  <threadedComment ref="B241" dT="2025-07-03T20:07:15.78" personId="{1A271C27-9C38-4936-A314-FC4D113F5D17}" id="{846E4C3C-25DA-42E7-B083-2DE72B55CAAC}">
    <text>La bajada drastica en ventas, es por la escisión de Delphi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0FAAA81F-675F-4144-B51A-7C9DC9B17A0A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163" dT="2025-07-01T18:00:05.39" personId="{1A271C27-9C38-4936-A314-FC4D113F5D17}" id="{AAE7422A-3C0E-46E5-AAD5-3B4D5F7037D0}">
    <text>Annual Reports pasan a millones</text>
  </threadedComment>
  <threadedComment ref="B233" dT="2025-07-03T18:29:15.64" personId="{1A271C27-9C38-4936-A314-FC4D113F5D17}" id="{B51BF64B-996B-4E6A-B289-783FA07AE597}">
    <text>TC promedio del periodo a USD, tomando base de Investing, para 2019 0.89099387</text>
  </threadedComment>
  <threadedComment ref="B241" dT="2025-07-03T20:05:12.16" personId="{1A271C27-9C38-4936-A314-FC4D113F5D17}" id="{BE303371-10BF-4117-B7FB-68A5CC35049E}">
    <text>La bajada drastica en ventas, es por la escisión de Delphi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5" dT="2025-06-30T20:57:20.86" personId="{1A271C27-9C38-4936-A314-FC4D113F5D17}" id="{0D97FD5C-AB30-4431-A96C-288B1CAEEEB5}">
    <text>Ventas / #Empleados</text>
  </threadedComment>
  <threadedComment ref="B233" dT="2025-06-30T20:57:20.86" personId="{1A271C27-9C38-4936-A314-FC4D113F5D17}" id="{B9D22CC7-C6D2-4065-B968-87C1C5616CEC}">
    <text>Ventas / #Empleados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45" dT="2025-06-30T20:56:18.04" personId="{1A271C27-9C38-4936-A314-FC4D113F5D17}" id="{B3B7EC63-E4E5-439F-8BAA-04B46692BFF9}">
    <text>Ventas / Activos</text>
  </threadedComment>
  <threadedComment ref="B233" dT="2025-06-30T20:56:18.04" personId="{1A271C27-9C38-4936-A314-FC4D113F5D17}" id="{77A982C1-D1A4-4580-9360-BF5691225A8F}">
    <text>Ventas / Activos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45" dT="2025-06-30T20:55:36.20" personId="{1A271C27-9C38-4936-A314-FC4D113F5D17}" id="{B9C8D7F9-637D-4DCC-8670-BE97391FA9D3}">
    <text>Activos / Capital de accionistas</text>
  </threadedComment>
  <threadedComment ref="B233" dT="2025-06-30T20:55:36.20" personId="{1A271C27-9C38-4936-A314-FC4D113F5D17}" id="{713776C2-78B5-4E2F-9786-5EC7B326A6B8}">
    <text>Activos / Capital de accionistas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45" dT="2025-06-30T20:54:49.78" personId="{1A271C27-9C38-4936-A314-FC4D113F5D17}" id="{928E2EE9-9E4B-409A-8D8D-131A464B3E72}">
    <text>Dato sacado de los reportes anuales de la empresa.</text>
  </threadedComment>
  <threadedComment ref="B161" dT="2025-07-01T18:44:27.89" personId="{1A271C27-9C38-4936-A314-FC4D113F5D17}" id="{0D6507BE-6A78-437C-B8C8-7945FD0117E9}">
    <text>Solar City Adquisición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45" dT="2025-06-30T20:50:54.54" personId="{1A271C27-9C38-4936-A314-FC4D113F5D17}" id="{CFE237F1-1C55-4467-8DEB-8947CD5AE198}">
    <text xml:space="preserve">Utilidad / Activos *100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145" dT="2025-06-30T20:50:16.68" personId="{1A271C27-9C38-4936-A314-FC4D113F5D17}" id="{82362E64-F9D7-4F51-89F6-19003795C58C}">
    <text>(Utilidad / Ingresos) * 100</text>
  </threadedComment>
  <threadedComment ref="B233" dT="2025-07-03T18:29:15.64" personId="{1A271C27-9C38-4936-A314-FC4D113F5D17}" id="{ADAA9FA7-1BCC-4F4F-B967-FC32B1DBB059}">
    <text>TC promedio del periodo a USD, tomando base de Investing, para 2019 .89099387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4B35757C-6216-4373-8568-9723D4F33D24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003CC685-1CEA-40C3-B902-062B81F6D438}">
    <text>TC promedio del periodo a USD, tomando base de Investing, para 2019 .89099387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145" dT="2025-06-30T20:08:04.82" personId="{1A271C27-9C38-4936-A314-FC4D113F5D17}" id="{1E7E742C-E98C-4797-885D-3C61B90AD989}">
    <text>Tipo de cambio promedio para el año de: https://fred.stlouisfed.org/series/DEXCHUS
Dato sacado de los reportes anuales de la empresa.</text>
    <extLst>
      <x:ext xmlns:xltc2="http://schemas.microsoft.com/office/spreadsheetml/2020/threadedcomments2" uri="{F7C98A9C-CBB3-438F-8F68-D28B6AF4A901}">
        <xltc2:checksum>1212043270</xltc2:checksum>
        <xltc2:hyperlink startIndex="40" length="42" url="https://fred.stlouisfed.org/series/DEXCHUS"/>
      </x:ext>
    </extLst>
  </threadedComment>
  <threadedComment ref="B233" dT="2025-07-03T18:29:15.64" personId="{1A271C27-9C38-4936-A314-FC4D113F5D17}" id="{6484206B-2BEC-4C97-9FBD-A44FD467B764}">
    <text>TC promedio del periodo a USD, tomando base de Investing, para 2019 0.89099387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68F3-B7E0-4565-99B8-9940FC8DB5B6}">
  <sheetPr codeName="Hoja1"/>
  <dimension ref="A1:C278"/>
  <sheetViews>
    <sheetView topLeftCell="A257" zoomScale="85" zoomScaleNormal="85" workbookViewId="0">
      <selection activeCell="D270" sqref="D270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Utilidad_Millones!B2*1000000/Empleados!B2</f>
        <v>67660.97641217873</v>
      </c>
    </row>
    <row r="3" spans="1:2">
      <c r="A3" s="2" t="s">
        <v>1</v>
      </c>
      <c r="B3">
        <f>Utilidad_Millones!B3*1000000/Empleados!B3</f>
        <v>61855.377989346031</v>
      </c>
    </row>
    <row r="4" spans="1:2">
      <c r="A4" s="2" t="s">
        <v>2</v>
      </c>
      <c r="B4">
        <f>Utilidad_Millones!B4*1000000/Empleados!B4</f>
        <v>63929.642685612271</v>
      </c>
    </row>
    <row r="5" spans="1:2">
      <c r="A5" s="2" t="s">
        <v>3</v>
      </c>
      <c r="B5">
        <f>Utilidad_Millones!B5*1000000/Empleados!B5</f>
        <v>66118.771706612562</v>
      </c>
    </row>
    <row r="6" spans="1:2">
      <c r="A6" s="2" t="s">
        <v>4</v>
      </c>
      <c r="B6">
        <f>Utilidad_Millones!B6*1000000/Empleados!B6</f>
        <v>57794.247570432904</v>
      </c>
    </row>
    <row r="7" spans="1:2">
      <c r="A7" s="2" t="s">
        <v>5</v>
      </c>
      <c r="B7">
        <f>Utilidad_Millones!B7*1000000/Empleados!B7</f>
        <v>60847.116548677535</v>
      </c>
    </row>
    <row r="8" spans="1:2">
      <c r="A8" s="2" t="s">
        <v>277</v>
      </c>
      <c r="B8">
        <f>Utilidad_Millones!B8*1000000/Empleados!B8</f>
        <v>59175.140229725017</v>
      </c>
    </row>
    <row r="9" spans="1:2">
      <c r="A9" s="2" t="s">
        <v>7</v>
      </c>
      <c r="B9">
        <f>Utilidad_Millones!B9*1000000/Empleados!B9</f>
        <v>41121.858601563785</v>
      </c>
    </row>
    <row r="10" spans="1:2">
      <c r="A10" s="2" t="s">
        <v>8</v>
      </c>
      <c r="B10">
        <f>Utilidad_Millones!B10*1000000/Empleados!B10</f>
        <v>35629.441876646291</v>
      </c>
    </row>
    <row r="11" spans="1:2">
      <c r="A11" s="2" t="s">
        <v>9</v>
      </c>
      <c r="B11">
        <f>Utilidad_Millones!B11*1000000/Empleados!B11</f>
        <v>123115.99626605219</v>
      </c>
    </row>
    <row r="12" spans="1:2">
      <c r="A12" s="2" t="s">
        <v>10</v>
      </c>
      <c r="B12">
        <f>Utilidad_Millones!B12*1000000/Empleados!B12</f>
        <v>126239.17042983776</v>
      </c>
    </row>
    <row r="13" spans="1:2">
      <c r="A13" s="2" t="s">
        <v>11</v>
      </c>
      <c r="B13">
        <v>46525.423728813563</v>
      </c>
    </row>
    <row r="14" spans="1:2">
      <c r="A14" s="2" t="s">
        <v>12</v>
      </c>
      <c r="B14">
        <v>14268.53494774197</v>
      </c>
    </row>
    <row r="15" spans="1:2">
      <c r="A15" s="2" t="s">
        <v>13</v>
      </c>
      <c r="B15">
        <v>14361.899618591149</v>
      </c>
    </row>
    <row r="16" spans="1:2">
      <c r="A16" s="2" t="s">
        <v>14</v>
      </c>
      <c r="B16">
        <v>16656.622684597816</v>
      </c>
    </row>
    <row r="17" spans="1:2">
      <c r="A17" s="2" t="s">
        <v>15</v>
      </c>
      <c r="B17">
        <v>14552.258548622167</v>
      </c>
    </row>
    <row r="18" spans="1:2">
      <c r="A18" s="2" t="s">
        <v>16</v>
      </c>
      <c r="B18">
        <v>14078.051395267492</v>
      </c>
    </row>
    <row r="19" spans="1:2">
      <c r="A19" s="2" t="s">
        <v>17</v>
      </c>
      <c r="B19">
        <v>14058.118786642875</v>
      </c>
    </row>
    <row r="20" spans="1:2">
      <c r="A20" s="2" t="s">
        <v>18</v>
      </c>
      <c r="B20">
        <v>-5678.4202635655065</v>
      </c>
    </row>
    <row r="21" spans="1:2">
      <c r="A21" s="2" t="s">
        <v>19</v>
      </c>
      <c r="B21">
        <v>-4636.4843941688596</v>
      </c>
    </row>
    <row r="22" spans="1:2">
      <c r="A22" s="2" t="s">
        <v>20</v>
      </c>
      <c r="B22">
        <v>9012.7046496398161</v>
      </c>
    </row>
    <row r="23" spans="1:2">
      <c r="A23" s="2" t="s">
        <v>21</v>
      </c>
      <c r="B23">
        <v>351.69163677287753</v>
      </c>
    </row>
    <row r="24" spans="1:2">
      <c r="A24" s="2" t="s">
        <v>22</v>
      </c>
      <c r="B24">
        <v>132764.61295418642</v>
      </c>
    </row>
    <row r="25" spans="1:2">
      <c r="A25" s="2" t="s">
        <v>23</v>
      </c>
      <c r="B25">
        <v>16540.415494874353</v>
      </c>
    </row>
    <row r="26" spans="1:2">
      <c r="A26" s="2" t="s">
        <v>24</v>
      </c>
      <c r="B26">
        <v>20513.865648374594</v>
      </c>
    </row>
    <row r="27" spans="1:2">
      <c r="A27" s="2" t="s">
        <v>25</v>
      </c>
      <c r="B27">
        <v>16017.557969927886</v>
      </c>
    </row>
    <row r="28" spans="1:2">
      <c r="A28" s="2" t="s">
        <v>26</v>
      </c>
      <c r="B28">
        <v>13405.369790808763</v>
      </c>
    </row>
    <row r="29" spans="1:2">
      <c r="A29" s="2" t="s">
        <v>27</v>
      </c>
      <c r="B29">
        <v>15389.694031444791</v>
      </c>
    </row>
    <row r="30" spans="1:2">
      <c r="A30" s="2" t="s">
        <v>28</v>
      </c>
      <c r="B30">
        <v>13347.132424763942</v>
      </c>
    </row>
    <row r="31" spans="1:2">
      <c r="A31" s="2" t="s">
        <v>29</v>
      </c>
      <c r="B31">
        <v>3664.6151686050594</v>
      </c>
    </row>
    <row r="32" spans="1:2">
      <c r="A32" s="2" t="s">
        <v>30</v>
      </c>
      <c r="B32">
        <v>7005.718832954255</v>
      </c>
    </row>
    <row r="33" spans="1:2">
      <c r="A33" s="2" t="s">
        <v>31</v>
      </c>
      <c r="B33">
        <v>13987.496278654362</v>
      </c>
    </row>
    <row r="34" spans="1:2">
      <c r="A34" s="2" t="s">
        <v>32</v>
      </c>
      <c r="B34">
        <v>14124.516928760664</v>
      </c>
    </row>
    <row r="35" spans="1:2">
      <c r="A35" s="2" t="s">
        <v>33</v>
      </c>
      <c r="B35">
        <v>96119.237690923357</v>
      </c>
    </row>
    <row r="36" spans="1:2">
      <c r="A36" s="2" t="s">
        <v>34</v>
      </c>
      <c r="B36">
        <v>33128.654970760232</v>
      </c>
    </row>
    <row r="37" spans="1:2">
      <c r="A37" s="2" t="s">
        <v>35</v>
      </c>
      <c r="B37">
        <v>39530.386740331494</v>
      </c>
    </row>
    <row r="38" spans="1:2">
      <c r="A38" s="2" t="s">
        <v>36</v>
      </c>
      <c r="B38">
        <v>17042.780748663103</v>
      </c>
    </row>
    <row r="39" spans="1:2">
      <c r="A39" s="2" t="s">
        <v>37</v>
      </c>
      <c r="B39">
        <v>37050.251256281408</v>
      </c>
    </row>
    <row r="40" spans="1:2">
      <c r="A40" s="2" t="s">
        <v>38</v>
      </c>
      <c r="B40">
        <v>22865.671641791047</v>
      </c>
    </row>
    <row r="41" spans="1:2">
      <c r="A41" s="2" t="s">
        <v>39</v>
      </c>
      <c r="B41">
        <v>18477.386934673366</v>
      </c>
    </row>
    <row r="42" spans="1:2">
      <c r="A42" s="2" t="s">
        <v>40</v>
      </c>
      <c r="B42">
        <v>247.36842105263159</v>
      </c>
    </row>
    <row r="43" spans="1:2">
      <c r="A43" s="2" t="s">
        <v>41</v>
      </c>
      <c r="B43">
        <v>-6876.3440860215051</v>
      </c>
    </row>
    <row r="44" spans="1:2">
      <c r="A44" s="2" t="s">
        <v>42</v>
      </c>
      <c r="B44">
        <v>98016.393442622953</v>
      </c>
    </row>
    <row r="45" spans="1:2">
      <c r="A45" s="2" t="s">
        <v>43</v>
      </c>
      <c r="B45">
        <v>-11450.867052023121</v>
      </c>
    </row>
    <row r="46" spans="1:2">
      <c r="A46" s="2" t="s">
        <v>44</v>
      </c>
      <c r="B46">
        <v>548396.84625492769</v>
      </c>
    </row>
    <row r="47" spans="1:2">
      <c r="A47" s="2" t="s">
        <v>45</v>
      </c>
      <c r="B47">
        <v>29051.643192488264</v>
      </c>
    </row>
    <row r="48" spans="1:2">
      <c r="A48" s="2" t="s">
        <v>46</v>
      </c>
      <c r="B48">
        <v>24410.95890410959</v>
      </c>
    </row>
    <row r="49" spans="1:2">
      <c r="A49" s="2" t="s">
        <v>47</v>
      </c>
      <c r="B49">
        <v>18282.407407407409</v>
      </c>
    </row>
    <row r="50" spans="1:2">
      <c r="A50" s="2" t="s">
        <v>48</v>
      </c>
      <c r="B50">
        <v>45055.813953488374</v>
      </c>
    </row>
    <row r="51" spans="1:2">
      <c r="A51" s="2" t="s">
        <v>49</v>
      </c>
      <c r="B51">
        <v>41897.777777777781</v>
      </c>
    </row>
    <row r="52" spans="1:2">
      <c r="A52" s="2" t="s">
        <v>50</v>
      </c>
      <c r="B52">
        <v>46323.699421965321</v>
      </c>
    </row>
    <row r="53" spans="1:2">
      <c r="A53" s="2" t="s">
        <v>51</v>
      </c>
      <c r="B53">
        <v>41048.780487804877</v>
      </c>
    </row>
    <row r="54" spans="1:2">
      <c r="A54" s="2" t="s">
        <v>52</v>
      </c>
      <c r="B54">
        <v>41464.516129032258</v>
      </c>
    </row>
    <row r="55" spans="1:2">
      <c r="A55" s="2" t="s">
        <v>53</v>
      </c>
      <c r="B55">
        <v>63815.286624203822</v>
      </c>
    </row>
    <row r="56" spans="1:2">
      <c r="A56" s="2" t="s">
        <v>54</v>
      </c>
      <c r="B56">
        <v>59485.029940119763</v>
      </c>
    </row>
    <row r="57" spans="1:2">
      <c r="A57" s="2" t="s">
        <v>55</v>
      </c>
      <c r="B57">
        <v>24052.019902642311</v>
      </c>
    </row>
    <row r="58" spans="1:2">
      <c r="A58" s="2" t="s">
        <v>56</v>
      </c>
      <c r="B58">
        <v>6471.6159882295251</v>
      </c>
    </row>
    <row r="59" spans="1:2">
      <c r="A59" s="2" t="s">
        <v>57</v>
      </c>
      <c r="B59">
        <v>8246.9405253722034</v>
      </c>
    </row>
    <row r="60" spans="1:2">
      <c r="A60" s="2" t="s">
        <v>58</v>
      </c>
      <c r="B60">
        <v>6587.7232477862826</v>
      </c>
    </row>
    <row r="61" spans="1:2">
      <c r="A61" s="2" t="s">
        <v>59</v>
      </c>
      <c r="B61">
        <v>4277.4814761785447</v>
      </c>
    </row>
    <row r="62" spans="1:2">
      <c r="A62" s="2" t="s">
        <v>60</v>
      </c>
      <c r="B62">
        <v>7023.3343315113852</v>
      </c>
    </row>
    <row r="63" spans="1:2">
      <c r="A63" s="2" t="s">
        <v>61</v>
      </c>
      <c r="B63">
        <v>6782.4329849530823</v>
      </c>
    </row>
    <row r="64" spans="1:2">
      <c r="A64" s="2" t="s">
        <v>62</v>
      </c>
      <c r="B64">
        <v>2676.2462797619046</v>
      </c>
    </row>
    <row r="65" spans="1:2">
      <c r="A65" s="2" t="s">
        <v>63</v>
      </c>
      <c r="B65">
        <v>13486.137078754162</v>
      </c>
    </row>
    <row r="66" spans="1:2">
      <c r="A66" s="2" t="s">
        <v>64</v>
      </c>
      <c r="B66">
        <v>14104.663446002276</v>
      </c>
    </row>
    <row r="67" spans="1:2">
      <c r="A67" s="2" t="s">
        <v>65</v>
      </c>
      <c r="B67">
        <v>14868.924889543447</v>
      </c>
    </row>
    <row r="68" spans="1:2">
      <c r="A68" s="2" t="s">
        <v>66</v>
      </c>
      <c r="B68">
        <v>52204.854821179026</v>
      </c>
    </row>
    <row r="69" spans="1:2">
      <c r="A69" s="2" t="s">
        <v>67</v>
      </c>
      <c r="B69">
        <v>22166.666666666668</v>
      </c>
    </row>
    <row r="70" spans="1:2">
      <c r="A70" s="2" t="s">
        <v>68</v>
      </c>
      <c r="B70">
        <v>29954.198473282442</v>
      </c>
    </row>
    <row r="71" spans="1:2">
      <c r="A71" s="2" t="s">
        <v>69</v>
      </c>
      <c r="B71">
        <v>33377.952755905513</v>
      </c>
    </row>
    <row r="72" spans="1:2">
      <c r="A72" s="2" t="s">
        <v>70</v>
      </c>
      <c r="B72">
        <v>36961.240310077519</v>
      </c>
    </row>
    <row r="73" spans="1:2">
      <c r="A73" s="2" t="s">
        <v>71</v>
      </c>
      <c r="B73">
        <v>36709.923664122136</v>
      </c>
    </row>
    <row r="74" spans="1:2">
      <c r="A74" s="2" t="s">
        <v>72</v>
      </c>
      <c r="B74">
        <v>59342.105263157893</v>
      </c>
    </row>
    <row r="75" spans="1:2">
      <c r="A75" s="2" t="s">
        <v>73</v>
      </c>
      <c r="B75">
        <v>54362.83185840708</v>
      </c>
    </row>
    <row r="76" spans="1:2">
      <c r="A76" s="2" t="s">
        <v>74</v>
      </c>
      <c r="B76">
        <v>46398.058252427181</v>
      </c>
    </row>
    <row r="77" spans="1:2">
      <c r="A77" s="2" t="s">
        <v>75</v>
      </c>
      <c r="B77">
        <v>55979.797979797979</v>
      </c>
    </row>
    <row r="78" spans="1:2">
      <c r="A78" s="2" t="s">
        <v>76</v>
      </c>
      <c r="B78">
        <v>51195.876288659791</v>
      </c>
    </row>
    <row r="79" spans="1:2">
      <c r="A79" s="2" t="s">
        <v>77</v>
      </c>
      <c r="B79">
        <v>4688.8888888888887</v>
      </c>
    </row>
    <row r="80" spans="1:2">
      <c r="A80" s="2" t="s">
        <v>78</v>
      </c>
      <c r="B80">
        <v>72879.807998640696</v>
      </c>
    </row>
    <row r="81" spans="1:2">
      <c r="A81" s="2" t="s">
        <v>79</v>
      </c>
      <c r="B81">
        <v>72517.623572958473</v>
      </c>
    </row>
    <row r="82" spans="1:2">
      <c r="A82" s="2" t="s">
        <v>80</v>
      </c>
      <c r="B82">
        <v>58100.376001307828</v>
      </c>
    </row>
    <row r="83" spans="1:2">
      <c r="A83" s="2" t="s">
        <v>81</v>
      </c>
      <c r="B83">
        <v>46204.417255898945</v>
      </c>
    </row>
    <row r="84" spans="1:2">
      <c r="A84" s="2" t="s">
        <v>82</v>
      </c>
      <c r="B84">
        <v>46221.547208754404</v>
      </c>
    </row>
    <row r="85" spans="1:2">
      <c r="A85" s="2" t="s">
        <v>83</v>
      </c>
      <c r="B85">
        <v>19983.64334892921</v>
      </c>
    </row>
    <row r="86" spans="1:2">
      <c r="A86" s="2" t="s">
        <v>84</v>
      </c>
      <c r="B86">
        <v>29884.838316046371</v>
      </c>
    </row>
    <row r="87" spans="1:2">
      <c r="A87" s="2" t="s">
        <v>85</v>
      </c>
      <c r="B87">
        <v>24297.192624135339</v>
      </c>
    </row>
    <row r="88" spans="1:2">
      <c r="A88" s="2" t="s">
        <v>86</v>
      </c>
      <c r="B88">
        <v>80038.480038480033</v>
      </c>
    </row>
    <row r="89" spans="1:2">
      <c r="A89" s="2" t="s">
        <v>87</v>
      </c>
      <c r="B89">
        <v>116899.60108237788</v>
      </c>
    </row>
    <row r="90" spans="1:2">
      <c r="A90" s="2" t="s">
        <v>88</v>
      </c>
      <c r="B90">
        <v>4526.8940981810356</v>
      </c>
    </row>
    <row r="91" spans="1:2">
      <c r="A91" s="2" t="s">
        <v>89</v>
      </c>
      <c r="B91">
        <v>683.99137225048162</v>
      </c>
    </row>
    <row r="92" spans="1:2">
      <c r="A92" s="2" t="s">
        <v>90</v>
      </c>
      <c r="B92">
        <v>1879.9837029276525</v>
      </c>
    </row>
    <row r="93" spans="1:2">
      <c r="A93" s="2" t="s">
        <v>91</v>
      </c>
      <c r="B93">
        <v>4569.8795180722891</v>
      </c>
    </row>
    <row r="94" spans="1:2">
      <c r="A94" s="2" t="s">
        <v>92</v>
      </c>
      <c r="B94">
        <v>1428.5714285714287</v>
      </c>
    </row>
    <row r="95" spans="1:2">
      <c r="A95" s="2" t="s">
        <v>93</v>
      </c>
      <c r="B95">
        <v>882.66666666666663</v>
      </c>
    </row>
    <row r="96" spans="1:2">
      <c r="A96" s="2" t="s">
        <v>94</v>
      </c>
      <c r="B96">
        <v>15526.170798898072</v>
      </c>
    </row>
    <row r="97" spans="1:2">
      <c r="A97" s="2" t="s">
        <v>95</v>
      </c>
      <c r="B97">
        <v>362.16216216216219</v>
      </c>
    </row>
    <row r="98" spans="1:2">
      <c r="A98" s="2" t="s">
        <v>96</v>
      </c>
      <c r="B98">
        <v>22246.666666666668</v>
      </c>
    </row>
    <row r="99" spans="1:2">
      <c r="A99" s="2" t="s">
        <v>97</v>
      </c>
      <c r="B99">
        <v>12021.333333333334</v>
      </c>
    </row>
    <row r="100" spans="1:2">
      <c r="A100" s="2" t="s">
        <v>98</v>
      </c>
      <c r="B100">
        <v>12524.324324324325</v>
      </c>
    </row>
    <row r="101" spans="1:2">
      <c r="A101" s="2" t="s">
        <v>99</v>
      </c>
      <c r="B101">
        <v>30758.620689655174</v>
      </c>
    </row>
    <row r="102" spans="1:2">
      <c r="A102" s="2" t="s">
        <v>100</v>
      </c>
      <c r="B102">
        <v>25688.65632592039</v>
      </c>
    </row>
    <row r="103" spans="1:2">
      <c r="A103" s="2" t="s">
        <v>101</v>
      </c>
      <c r="B103">
        <v>27170.194157775059</v>
      </c>
    </row>
    <row r="104" spans="1:2">
      <c r="A104" s="2" t="s">
        <v>102</v>
      </c>
      <c r="B104">
        <v>27858.328647548664</v>
      </c>
    </row>
    <row r="105" spans="1:2">
      <c r="A105" s="2" t="s">
        <v>103</v>
      </c>
      <c r="B105">
        <v>28627.94496821304</v>
      </c>
    </row>
    <row r="106" spans="1:2">
      <c r="A106" s="2" t="s">
        <v>104</v>
      </c>
      <c r="B106">
        <v>44614.936247723133</v>
      </c>
    </row>
    <row r="107" spans="1:2">
      <c r="A107" s="2" t="s">
        <v>105</v>
      </c>
      <c r="B107">
        <v>19381.468288971337</v>
      </c>
    </row>
    <row r="108" spans="1:2">
      <c r="A108" s="2" t="s">
        <v>106</v>
      </c>
      <c r="B108">
        <v>-42596.924095961585</v>
      </c>
    </row>
    <row r="109" spans="1:2">
      <c r="A109" s="2" t="s">
        <v>107</v>
      </c>
      <c r="B109">
        <v>-30340.413025869671</v>
      </c>
    </row>
    <row r="110" spans="1:2">
      <c r="A110" s="2" t="s">
        <v>108</v>
      </c>
      <c r="B110">
        <v>13513.589655099555</v>
      </c>
    </row>
    <row r="111" spans="1:2">
      <c r="A111" s="2" t="s">
        <v>109</v>
      </c>
      <c r="B111">
        <v>11758.883357959518</v>
      </c>
    </row>
    <row r="112" spans="1:2">
      <c r="A112" s="2" t="s">
        <v>110</v>
      </c>
      <c r="B112">
        <v>15674.239305363224</v>
      </c>
    </row>
    <row r="113" spans="1:2">
      <c r="A113" s="2" t="s">
        <v>111</v>
      </c>
      <c r="B113">
        <v>-30921.012316931185</v>
      </c>
    </row>
    <row r="114" spans="1:2">
      <c r="A114" s="2" t="s">
        <v>112</v>
      </c>
      <c r="B114">
        <v>4423.2842388764811</v>
      </c>
    </row>
    <row r="115" spans="1:2">
      <c r="A115" s="2" t="s">
        <v>113</v>
      </c>
      <c r="B115">
        <v>6424.6469671447239</v>
      </c>
    </row>
    <row r="116" spans="1:2">
      <c r="A116" s="2" t="s">
        <v>114</v>
      </c>
      <c r="B116">
        <v>6451.5870471304906</v>
      </c>
    </row>
    <row r="117" spans="1:2">
      <c r="A117" s="2" t="s">
        <v>115</v>
      </c>
      <c r="B117">
        <v>5352.3237798651044</v>
      </c>
    </row>
    <row r="118" spans="1:2">
      <c r="A118" s="2" t="s">
        <v>116</v>
      </c>
      <c r="B118">
        <v>9426.5988398824429</v>
      </c>
    </row>
    <row r="119" spans="1:2">
      <c r="A119" s="2" t="s">
        <v>117</v>
      </c>
      <c r="B119">
        <v>8003.5468512057369</v>
      </c>
    </row>
    <row r="120" spans="1:2">
      <c r="A120" s="2" t="s">
        <v>118</v>
      </c>
      <c r="B120">
        <v>6394.0215159727359</v>
      </c>
    </row>
    <row r="121" spans="1:2">
      <c r="A121" s="2" t="s">
        <v>119</v>
      </c>
      <c r="B121">
        <v>9463.0263366056333</v>
      </c>
    </row>
    <row r="122" spans="1:2">
      <c r="A122" s="2" t="s">
        <v>120</v>
      </c>
      <c r="B122">
        <v>8404.351495987421</v>
      </c>
    </row>
    <row r="123" spans="1:2">
      <c r="A123" s="2" t="s">
        <v>121</v>
      </c>
      <c r="B123">
        <v>56545.928532067315</v>
      </c>
    </row>
    <row r="124" spans="1:2">
      <c r="A124" s="2" t="s">
        <v>122</v>
      </c>
      <c r="B124">
        <v>87227.542372881362</v>
      </c>
    </row>
    <row r="125" spans="1:2">
      <c r="A125" s="2" t="s">
        <v>123</v>
      </c>
      <c r="B125">
        <v>95263.28671328671</v>
      </c>
    </row>
    <row r="126" spans="1:2">
      <c r="A126" s="2" t="s">
        <v>124</v>
      </c>
      <c r="B126">
        <v>71409.446254071663</v>
      </c>
    </row>
    <row r="127" spans="1:2">
      <c r="A127" s="2" t="s">
        <v>125</v>
      </c>
      <c r="B127">
        <v>51824.137931034486</v>
      </c>
    </row>
    <row r="128" spans="1:2">
      <c r="A128" s="2" t="s">
        <v>126</v>
      </c>
      <c r="B128">
        <v>59435.384615384617</v>
      </c>
    </row>
    <row r="129" spans="1:2">
      <c r="A129" s="2" t="s">
        <v>127</v>
      </c>
      <c r="B129">
        <v>128847.97984691405</v>
      </c>
    </row>
    <row r="130" spans="1:2">
      <c r="A130" s="2" t="s">
        <v>128</v>
      </c>
      <c r="B130">
        <v>64199.012660077446</v>
      </c>
    </row>
    <row r="131" spans="1:2">
      <c r="A131" s="2" t="s">
        <v>129</v>
      </c>
      <c r="B131">
        <v>82543.28442880229</v>
      </c>
    </row>
    <row r="132" spans="1:2">
      <c r="A132" s="2" t="s">
        <v>130</v>
      </c>
      <c r="B132">
        <v>128597.57080769332</v>
      </c>
    </row>
    <row r="133" spans="1:2">
      <c r="A133" s="2" t="s">
        <v>131</v>
      </c>
      <c r="B133">
        <v>156812.46578787745</v>
      </c>
    </row>
    <row r="134" spans="1:2">
      <c r="A134" s="2" t="s">
        <v>132</v>
      </c>
      <c r="B134">
        <v>15.685517441088816</v>
      </c>
    </row>
    <row r="135" spans="1:2">
      <c r="A135" s="2" t="s">
        <v>133</v>
      </c>
      <c r="B135">
        <v>3542.0369104579636</v>
      </c>
    </row>
    <row r="136" spans="1:2">
      <c r="A136" s="2" t="s">
        <v>134</v>
      </c>
      <c r="B136">
        <v>-9094.3931866572038</v>
      </c>
    </row>
    <row r="137" spans="1:2">
      <c r="A137" s="2" t="s">
        <v>135</v>
      </c>
      <c r="B137">
        <v>-8700.0759301442667</v>
      </c>
    </row>
    <row r="138" spans="1:2">
      <c r="A138" s="2" t="s">
        <v>136</v>
      </c>
      <c r="B138">
        <v>9825.2194732641656</v>
      </c>
    </row>
    <row r="139" spans="1:2">
      <c r="A139" s="2" t="s">
        <v>137</v>
      </c>
      <c r="B139">
        <v>5267.9127725856697</v>
      </c>
    </row>
    <row r="140" spans="1:2">
      <c r="A140" s="2" t="s">
        <v>138</v>
      </c>
      <c r="B140">
        <v>72237.762237762232</v>
      </c>
    </row>
    <row r="141" spans="1:2">
      <c r="A141" s="2" t="s">
        <v>139</v>
      </c>
      <c r="B141">
        <v>47939.122649955236</v>
      </c>
    </row>
    <row r="142" spans="1:2">
      <c r="A142" s="2" t="s">
        <v>140</v>
      </c>
      <c r="B142">
        <v>100762.07839562443</v>
      </c>
    </row>
    <row r="143" spans="1:2">
      <c r="A143" s="2" t="s">
        <v>141</v>
      </c>
      <c r="B143">
        <v>72112.947658402205</v>
      </c>
    </row>
    <row r="144" spans="1:2">
      <c r="A144" s="2" t="s">
        <v>142</v>
      </c>
      <c r="B144">
        <v>61272.279944067828</v>
      </c>
    </row>
    <row r="145" spans="1:2">
      <c r="A145" s="2" t="s">
        <v>143</v>
      </c>
      <c r="B145" s="4">
        <f>Utilidad_Millones!B145*1000000/Empleados!B145</f>
        <v>1264.5452030108036</v>
      </c>
    </row>
    <row r="146" spans="1:2">
      <c r="A146" s="2" t="s">
        <v>144</v>
      </c>
      <c r="B146" s="4">
        <f>Utilidad_Millones!B146*1000000/Empleados!B146</f>
        <v>84.749359283933316</v>
      </c>
    </row>
    <row r="147" spans="1:2">
      <c r="A147" s="2" t="s">
        <v>145</v>
      </c>
      <c r="B147" s="4">
        <f>Utilidad_Millones!B147*1000000/Empleados!B147</f>
        <v>509.13428969119394</v>
      </c>
    </row>
    <row r="148" spans="1:2">
      <c r="A148" s="2" t="s">
        <v>146</v>
      </c>
      <c r="B148" s="4">
        <f>Utilidad_Millones!B148*1000000/Empleados!B148</f>
        <v>3783.213515775808</v>
      </c>
    </row>
    <row r="149" spans="1:2">
      <c r="A149" s="2" t="s">
        <v>147</v>
      </c>
      <c r="B149" s="4">
        <f>Utilidad_Millones!B149*1000000/Empleados!B149</f>
        <v>2223.5913381189616</v>
      </c>
    </row>
    <row r="150" spans="1:2">
      <c r="A150" s="2" t="s">
        <v>148</v>
      </c>
      <c r="B150" s="4">
        <f>Utilidad_Millones!B150*1000000/Empleados!B150</f>
        <v>3889.5674062228295</v>
      </c>
    </row>
    <row r="151" spans="1:2">
      <c r="A151" s="2" t="s">
        <v>149</v>
      </c>
      <c r="B151" s="4">
        <f>Utilidad_Millones!B151*1000000/Empleados!B151</f>
        <v>1917.8504527967825</v>
      </c>
    </row>
    <row r="152" spans="1:2">
      <c r="A152" s="2" t="s">
        <v>150</v>
      </c>
      <c r="B152" s="4">
        <f>Utilidad_Millones!B152*1000000/Empleados!B152</f>
        <v>1000.7336625083307</v>
      </c>
    </row>
    <row r="153" spans="1:2">
      <c r="A153" s="2" t="s">
        <v>151</v>
      </c>
      <c r="B153" s="4">
        <f>Utilidad_Millones!B153*1000000/Empleados!B153</f>
        <v>2774.8312589016</v>
      </c>
    </row>
    <row r="154" spans="1:2">
      <c r="A154" s="2" t="s">
        <v>152</v>
      </c>
      <c r="B154" s="4">
        <f>Utilidad_Millones!B154*1000000/Empleados!B154</f>
        <v>1638.1781210745837</v>
      </c>
    </row>
    <row r="155" spans="1:2">
      <c r="A155" s="2" t="s">
        <v>153</v>
      </c>
      <c r="B155" s="4">
        <f>Utilidad_Millones!B155*1000000/Empleados!B155</f>
        <v>4334.8068624355328</v>
      </c>
    </row>
    <row r="156" spans="1:2">
      <c r="A156" s="2" t="s">
        <v>154</v>
      </c>
      <c r="B156" s="4">
        <f>Utilidad_Millones!B156*1000000/Empleados!B156</f>
        <v>-179541.99011997177</v>
      </c>
    </row>
    <row r="157" spans="1:2">
      <c r="A157" s="2" t="s">
        <v>155</v>
      </c>
      <c r="B157" s="4">
        <f>Utilidad_Millones!B157*1000000/Empleados!B157</f>
        <v>-133675.10121457491</v>
      </c>
    </row>
    <row r="158" spans="1:2">
      <c r="A158" s="2" t="s">
        <v>156</v>
      </c>
      <c r="B158" s="4">
        <f>Utilidad_Millones!B158*1000000/Empleados!B158</f>
        <v>-12632.53114866018</v>
      </c>
    </row>
    <row r="159" spans="1:2">
      <c r="A159" s="2" t="s">
        <v>157</v>
      </c>
      <c r="B159" s="4">
        <f>Utilidad_Millones!B159*1000000/Empleados!B159</f>
        <v>-28938.096644031099</v>
      </c>
    </row>
    <row r="160" spans="1:2">
      <c r="A160" s="2" t="s">
        <v>158</v>
      </c>
      <c r="B160" s="4">
        <f>Utilidad_Millones!B160*1000000/Empleados!B160</f>
        <v>-68055.062030938891</v>
      </c>
    </row>
    <row r="161" spans="1:2">
      <c r="A161" s="2" t="s">
        <v>159</v>
      </c>
      <c r="B161" s="4">
        <f>Utilidad_Millones!B161*1000000/Empleados!B161</f>
        <v>-22478.401332223148</v>
      </c>
    </row>
    <row r="162" spans="1:2">
      <c r="A162" s="2" t="s">
        <v>160</v>
      </c>
      <c r="B162" s="4">
        <f>Utilidad_Millones!B162*1000000/Empleados!B162</f>
        <v>-19994.899317860582</v>
      </c>
    </row>
    <row r="163" spans="1:2">
      <c r="A163" s="2" t="s">
        <v>161</v>
      </c>
      <c r="B163" s="4">
        <f>Utilidad_Millones!B163*1000000/Empleados!B163</f>
        <v>-17952.349216927691</v>
      </c>
    </row>
    <row r="164" spans="1:2">
      <c r="A164" s="2" t="s">
        <v>162</v>
      </c>
      <c r="B164">
        <v>10189.804542306769</v>
      </c>
    </row>
    <row r="165" spans="1:2">
      <c r="A165" s="2" t="s">
        <v>163</v>
      </c>
      <c r="B165">
        <v>55584.651022258033</v>
      </c>
    </row>
    <row r="166" spans="1:2">
      <c r="A166" s="2" t="s">
        <v>164</v>
      </c>
      <c r="B166">
        <v>98204.997849125968</v>
      </c>
    </row>
    <row r="167" spans="1:2">
      <c r="A167" s="2" t="s">
        <v>165</v>
      </c>
      <c r="B167">
        <v>16459.016393442624</v>
      </c>
    </row>
    <row r="168" spans="1:2">
      <c r="A168" s="2" t="s">
        <v>166</v>
      </c>
      <c r="B168">
        <v>50765.693580688407</v>
      </c>
    </row>
    <row r="169" spans="1:2">
      <c r="A169" s="2" t="s">
        <v>167</v>
      </c>
      <c r="B169">
        <v>21074.546089385476</v>
      </c>
    </row>
    <row r="170" spans="1:2">
      <c r="A170" s="2" t="s">
        <v>168</v>
      </c>
      <c r="B170">
        <v>24590.354817697345</v>
      </c>
    </row>
    <row r="171" spans="1:2">
      <c r="A171" s="2" t="s">
        <v>169</v>
      </c>
      <c r="B171">
        <v>-2491.0011211717883</v>
      </c>
    </row>
    <row r="172" spans="1:2">
      <c r="A172" s="2" t="s">
        <v>170</v>
      </c>
      <c r="B172">
        <v>9473.6842105263149</v>
      </c>
    </row>
    <row r="173" spans="1:2">
      <c r="A173" s="2" t="s">
        <v>171</v>
      </c>
      <c r="B173">
        <v>21553.929594760539</v>
      </c>
    </row>
    <row r="174" spans="1:2">
      <c r="A174" s="2" t="s">
        <v>172</v>
      </c>
      <c r="B174">
        <v>23155.369819950687</v>
      </c>
    </row>
    <row r="175" spans="1:2">
      <c r="A175" s="2" t="s">
        <v>173</v>
      </c>
      <c r="B175">
        <v>15248.839753990114</v>
      </c>
    </row>
    <row r="176" spans="1:2">
      <c r="A176" s="2" t="s">
        <v>174</v>
      </c>
      <c r="B176">
        <v>27031.654798161089</v>
      </c>
    </row>
    <row r="177" spans="1:2">
      <c r="A177" s="2" t="s">
        <v>175</v>
      </c>
      <c r="B177">
        <v>22526.024518907081</v>
      </c>
    </row>
    <row r="178" spans="1:2">
      <c r="A178" s="2" t="s">
        <v>176</v>
      </c>
      <c r="B178">
        <v>59768.058316766073</v>
      </c>
    </row>
    <row r="179" spans="1:2">
      <c r="A179" s="2" t="s">
        <v>177</v>
      </c>
      <c r="B179">
        <v>15239.599592489089</v>
      </c>
    </row>
    <row r="180" spans="1:2">
      <c r="A180" s="2" t="s">
        <v>178</v>
      </c>
      <c r="B180">
        <v>5345.3803555814629</v>
      </c>
    </row>
    <row r="181" spans="1:2">
      <c r="A181" s="2" t="s">
        <v>179</v>
      </c>
      <c r="B181">
        <v>3099.3849863724326</v>
      </c>
    </row>
    <row r="182" spans="1:2">
      <c r="A182" s="2" t="s">
        <v>180</v>
      </c>
      <c r="B182">
        <v>19000.24472510986</v>
      </c>
    </row>
    <row r="183" spans="1:2">
      <c r="A183" s="2" t="s">
        <v>181</v>
      </c>
      <c r="B183">
        <v>17164.187444818221</v>
      </c>
    </row>
    <row r="184" spans="1:2">
      <c r="A184" s="2" t="s">
        <v>182</v>
      </c>
      <c r="B184">
        <v>29030.328832664316</v>
      </c>
    </row>
    <row r="185" spans="1:2">
      <c r="A185" s="2" t="s">
        <v>183</v>
      </c>
      <c r="B185">
        <v>38593.813593813597</v>
      </c>
    </row>
    <row r="186" spans="1:2">
      <c r="A186" s="2" t="s">
        <v>184</v>
      </c>
      <c r="B186">
        <v>22842.241651513996</v>
      </c>
    </row>
    <row r="187" spans="1:2">
      <c r="A187" s="2" t="s">
        <v>185</v>
      </c>
      <c r="B187">
        <v>42848.814395425754</v>
      </c>
    </row>
    <row r="188" spans="1:2">
      <c r="A188" s="2" t="s">
        <v>186</v>
      </c>
      <c r="B188">
        <v>34094.668197764455</v>
      </c>
    </row>
    <row r="189" spans="1:2">
      <c r="A189" s="2" t="s">
        <v>187</v>
      </c>
      <c r="B189">
        <v>-3118.9862924475233</v>
      </c>
    </row>
    <row r="190" spans="1:2">
      <c r="A190" s="2" t="s">
        <v>188</v>
      </c>
      <c r="B190">
        <v>1293.8271604938273</v>
      </c>
    </row>
    <row r="191" spans="1:2">
      <c r="A191" s="2" t="s">
        <v>189</v>
      </c>
      <c r="B191">
        <v>2840.376151422593</v>
      </c>
    </row>
    <row r="192" spans="1:2">
      <c r="A192" s="2" t="s">
        <v>190</v>
      </c>
      <c r="B192">
        <v>6411.7482777881214</v>
      </c>
    </row>
    <row r="193" spans="1:2">
      <c r="A193" s="2" t="s">
        <v>191</v>
      </c>
      <c r="B193">
        <v>6268.5914260717409</v>
      </c>
    </row>
    <row r="194" spans="1:2">
      <c r="A194" s="2" t="s">
        <v>192</v>
      </c>
      <c r="B194">
        <v>20847.608380550799</v>
      </c>
    </row>
    <row r="195" spans="1:2">
      <c r="A195" s="2" t="s">
        <v>193</v>
      </c>
      <c r="B195">
        <v>15773.83336270285</v>
      </c>
    </row>
    <row r="196" spans="1:2">
      <c r="A196" s="2" t="s">
        <v>194</v>
      </c>
      <c r="B196">
        <v>9373.3355652610589</v>
      </c>
    </row>
    <row r="197" spans="1:2">
      <c r="A197" s="2" t="s">
        <v>195</v>
      </c>
      <c r="B197">
        <v>10752.679622149422</v>
      </c>
    </row>
    <row r="198" spans="1:2">
      <c r="A198" s="2" t="s">
        <v>196</v>
      </c>
      <c r="B198">
        <v>11409.468850831472</v>
      </c>
    </row>
    <row r="199" spans="1:2">
      <c r="A199" s="2" t="s">
        <v>197</v>
      </c>
      <c r="B199">
        <v>7185.3828782590845</v>
      </c>
    </row>
    <row r="200" spans="1:2">
      <c r="A200" s="2" t="s">
        <v>198</v>
      </c>
      <c r="B200">
        <v>-38125.376732971672</v>
      </c>
    </row>
    <row r="201" spans="1:2">
      <c r="A201" s="2" t="s">
        <v>199</v>
      </c>
      <c r="B201">
        <v>2484.3410852713178</v>
      </c>
    </row>
    <row r="202" spans="1:2">
      <c r="A202" s="2" t="s">
        <v>200</v>
      </c>
      <c r="B202">
        <v>3238.5585585585586</v>
      </c>
    </row>
    <row r="203" spans="1:2">
      <c r="A203" s="2" t="s">
        <v>201</v>
      </c>
      <c r="B203">
        <v>4063.9622641509436</v>
      </c>
    </row>
    <row r="204" spans="1:2">
      <c r="A204" s="2" t="s">
        <v>202</v>
      </c>
      <c r="B204">
        <v>4365.1886792452833</v>
      </c>
    </row>
    <row r="205" spans="1:2">
      <c r="A205" s="2" t="s">
        <v>203</v>
      </c>
      <c r="B205">
        <v>6341.4660994094438</v>
      </c>
    </row>
    <row r="206" spans="1:2">
      <c r="A206" s="2" t="s">
        <v>204</v>
      </c>
      <c r="B206">
        <v>6412.6527677929553</v>
      </c>
    </row>
    <row r="207" spans="1:2">
      <c r="A207" s="2" t="s">
        <v>205</v>
      </c>
      <c r="B207">
        <v>4925.9048011365139</v>
      </c>
    </row>
    <row r="208" spans="1:2">
      <c r="A208" s="2" t="s">
        <v>206</v>
      </c>
      <c r="B208">
        <v>3935.0932175508779</v>
      </c>
    </row>
    <row r="209" spans="1:2">
      <c r="A209" s="2" t="s">
        <v>207</v>
      </c>
      <c r="B209">
        <v>6034.662137312971</v>
      </c>
    </row>
    <row r="210" spans="1:2">
      <c r="A210" s="2" t="s">
        <v>208</v>
      </c>
      <c r="B210">
        <v>6193.7626945409893</v>
      </c>
    </row>
    <row r="211" spans="1:2">
      <c r="A211" s="2" t="s">
        <v>209</v>
      </c>
      <c r="B211">
        <v>141498.67182834668</v>
      </c>
    </row>
    <row r="212" spans="1:2">
      <c r="A212" s="2" t="s">
        <v>210</v>
      </c>
      <c r="B212">
        <v>34742.637137254198</v>
      </c>
    </row>
    <row r="213" spans="1:2">
      <c r="A213" s="2" t="s">
        <v>211</v>
      </c>
      <c r="B213">
        <v>53701.807451125045</v>
      </c>
    </row>
    <row r="214" spans="1:2">
      <c r="A214" s="2" t="s">
        <v>212</v>
      </c>
      <c r="B214">
        <v>57443.716961776649</v>
      </c>
    </row>
    <row r="215" spans="1:2">
      <c r="A215" s="2" t="s">
        <v>213</v>
      </c>
      <c r="B215">
        <v>55217.741496286653</v>
      </c>
    </row>
    <row r="216" spans="1:2">
      <c r="A216" s="2" t="s">
        <v>214</v>
      </c>
      <c r="B216">
        <v>46369.959801890545</v>
      </c>
    </row>
    <row r="217" spans="1:2">
      <c r="A217" s="2" t="s">
        <v>215</v>
      </c>
      <c r="B217">
        <v>45789.629789414081</v>
      </c>
    </row>
    <row r="218" spans="1:2">
      <c r="A218" s="2" t="s">
        <v>216</v>
      </c>
      <c r="B218">
        <v>53112.570993096771</v>
      </c>
    </row>
    <row r="219" spans="1:2">
      <c r="A219" s="2" t="s">
        <v>217</v>
      </c>
      <c r="B219">
        <v>57824.414455489336</v>
      </c>
    </row>
    <row r="220" spans="1:2">
      <c r="A220" s="2" t="s">
        <v>218</v>
      </c>
      <c r="B220">
        <v>68053.227186528515</v>
      </c>
    </row>
    <row r="221" spans="1:2">
      <c r="A221" s="2" t="s">
        <v>219</v>
      </c>
      <c r="B221">
        <v>48263.088464562206</v>
      </c>
    </row>
    <row r="222" spans="1:2">
      <c r="A222" s="2" t="s">
        <v>220</v>
      </c>
      <c r="B222">
        <v>9935.7976653696496</v>
      </c>
    </row>
    <row r="223" spans="1:2">
      <c r="A223" s="2" t="s">
        <v>221</v>
      </c>
      <c r="B223">
        <v>12044.547173776004</v>
      </c>
    </row>
    <row r="224" spans="1:2">
      <c r="A224" s="2" t="s">
        <v>222</v>
      </c>
      <c r="B224">
        <v>12473.032361166601</v>
      </c>
    </row>
    <row r="225" spans="1:2">
      <c r="A225" s="2" t="s">
        <v>223</v>
      </c>
      <c r="B225">
        <v>14341.779386549819</v>
      </c>
    </row>
    <row r="226" spans="1:2">
      <c r="A226" s="2" t="s">
        <v>224</v>
      </c>
      <c r="B226">
        <v>15607.675906183369</v>
      </c>
    </row>
    <row r="227" spans="1:2">
      <c r="A227" s="2" t="s">
        <v>225</v>
      </c>
      <c r="B227">
        <v>13065.294306851078</v>
      </c>
    </row>
    <row r="228" spans="1:2">
      <c r="A228" s="2" t="s">
        <v>226</v>
      </c>
      <c r="B228">
        <v>13195.402298850575</v>
      </c>
    </row>
    <row r="229" spans="1:2">
      <c r="A229" s="2" t="s">
        <v>227</v>
      </c>
      <c r="B229">
        <v>10696.969696969696</v>
      </c>
    </row>
    <row r="230" spans="1:2">
      <c r="A230" s="2" t="s">
        <v>228</v>
      </c>
      <c r="B230">
        <v>4791.1392405063289</v>
      </c>
    </row>
    <row r="231" spans="1:2">
      <c r="A231" s="2" t="s">
        <v>229</v>
      </c>
      <c r="B231">
        <v>9582.2784810126577</v>
      </c>
    </row>
    <row r="232" spans="1:2">
      <c r="A232" s="2" t="s">
        <v>230</v>
      </c>
      <c r="B232">
        <v>3746.8354430379745</v>
      </c>
    </row>
    <row r="233" spans="1:2">
      <c r="A233" s="2" t="s">
        <v>231</v>
      </c>
      <c r="B233" s="4">
        <f>Utilidad_Millones!B233*1000000/Empleados!B233</f>
        <v>3068.9942378418464</v>
      </c>
    </row>
    <row r="234" spans="1:2">
      <c r="A234" s="2" t="s">
        <v>232</v>
      </c>
      <c r="B234">
        <f>Utilidad_Millones!B234*1000000/Empleados!B234</f>
        <v>-8507.8571850369735</v>
      </c>
    </row>
    <row r="235" spans="1:2">
      <c r="A235" s="2" t="s">
        <v>233</v>
      </c>
      <c r="B235">
        <f>Utilidad_Millones!B235*1000000/Empleados!B235</f>
        <v>2006.4841457941588</v>
      </c>
    </row>
    <row r="236" spans="1:2">
      <c r="A236" s="2" t="s">
        <v>234</v>
      </c>
      <c r="B236">
        <f>Utilidad_Millones!B236*1000000/Empleados!B236</f>
        <v>2553.9572863442295</v>
      </c>
    </row>
    <row r="237" spans="1:2">
      <c r="A237" s="2" t="s">
        <v>235</v>
      </c>
      <c r="B237">
        <f>Utilidad_Millones!B237*1000000/Empleados!B237</f>
        <v>11119.658119658119</v>
      </c>
    </row>
    <row r="238" spans="1:2">
      <c r="A238" s="2" t="s">
        <v>236</v>
      </c>
      <c r="B238">
        <f>Utilidad_Millones!B238*1000000/Empleados!B238</f>
        <v>11338.582677165354</v>
      </c>
    </row>
    <row r="239" spans="1:2">
      <c r="A239" s="2" t="s">
        <v>237</v>
      </c>
      <c r="B239">
        <f>Utilidad_Millones!B239*1000000/Empleados!B239</f>
        <v>11043.165467625899</v>
      </c>
    </row>
    <row r="240" spans="1:2">
      <c r="A240" s="2" t="s">
        <v>238</v>
      </c>
      <c r="B240">
        <f>Utilidad_Millones!B240*1000000/Empleados!B240</f>
        <v>8668.9655172413786</v>
      </c>
    </row>
    <row r="241" spans="1:2">
      <c r="A241" s="2" t="s">
        <v>278</v>
      </c>
      <c r="B241">
        <f>Utilidad_Millones!B241*1000000/Empleados!B241</f>
        <v>7741.2587412587409</v>
      </c>
    </row>
    <row r="242" spans="1:2">
      <c r="A242" s="2" t="s">
        <v>240</v>
      </c>
      <c r="B242">
        <f>Utilidad_Millones!B242*1000000/Empleados!B242</f>
        <v>7156.0283687943265</v>
      </c>
    </row>
    <row r="243" spans="1:2">
      <c r="A243" s="2" t="s">
        <v>241</v>
      </c>
      <c r="B243">
        <f>Utilidad_Millones!B243*1000000/Empleados!B243</f>
        <v>12066.225165562913</v>
      </c>
    </row>
    <row r="244" spans="1:2">
      <c r="A244" s="2" t="s">
        <v>242</v>
      </c>
      <c r="B244">
        <f>Utilidad_Millones!B244*1000000/Empleados!B244</f>
        <v>3929.0322580645161</v>
      </c>
    </row>
    <row r="245" spans="1:2">
      <c r="A245" s="2" t="s">
        <v>243</v>
      </c>
      <c r="B245">
        <f>Utilidad_Millones!B245*1000000/Empleados!B245</f>
        <v>3687.5</v>
      </c>
    </row>
    <row r="246" spans="1:2">
      <c r="A246" s="2" t="s">
        <v>244</v>
      </c>
      <c r="B246">
        <f>Utilidad_Millones!B246*1000000/Empleados!B246</f>
        <v>200094.33962264151</v>
      </c>
    </row>
    <row r="247" spans="1:2">
      <c r="A247" s="2" t="s">
        <v>245</v>
      </c>
      <c r="B247">
        <f>Utilidad_Millones!B247*1000000/Empleados!B247</f>
        <v>227781.95488721805</v>
      </c>
    </row>
    <row r="248" spans="1:2">
      <c r="A248" s="2" t="s">
        <v>246</v>
      </c>
      <c r="B248">
        <f>Utilidad_Millones!B248*1000000/Empleados!B248</f>
        <v>221064.51612903227</v>
      </c>
    </row>
    <row r="249" spans="1:2">
      <c r="A249" s="2" t="s">
        <v>247</v>
      </c>
      <c r="B249">
        <f>Utilidad_Millones!B249*1000000/Empleados!B249</f>
        <v>254536.74121405752</v>
      </c>
    </row>
    <row r="250" spans="1:2">
      <c r="A250" s="2" t="s">
        <v>248</v>
      </c>
      <c r="B250">
        <f>Utilidad_Millones!B250*1000000/Empleados!B250</f>
        <v>159727.27272727274</v>
      </c>
    </row>
    <row r="251" spans="1:2">
      <c r="A251" s="2" t="s">
        <v>249</v>
      </c>
      <c r="B251">
        <f>Utilidad_Millones!B251*1000000/Empleados!B251</f>
        <v>187049.18032786885</v>
      </c>
    </row>
    <row r="252" spans="1:2">
      <c r="A252" s="2" t="s">
        <v>279</v>
      </c>
      <c r="B252">
        <f>Utilidad_Millones!B252*1000000/Empleados!B252</f>
        <v>-137401.12994350283</v>
      </c>
    </row>
    <row r="253" spans="1:2">
      <c r="A253" s="2" t="s">
        <v>251</v>
      </c>
      <c r="B253">
        <f>Utilidad_Millones!B253*1000000/Empleados!B253</f>
        <v>118540.54054054055</v>
      </c>
    </row>
    <row r="254" spans="1:2">
      <c r="A254" s="2" t="s">
        <v>252</v>
      </c>
      <c r="B254">
        <f>Utilidad_Millones!B254*1000000/Empleados!B254</f>
        <v>126780.48780487805</v>
      </c>
    </row>
    <row r="255" spans="1:2">
      <c r="A255" s="2" t="s">
        <v>253</v>
      </c>
      <c r="B255">
        <f>Utilidad_Millones!B255*1000000/Empleados!B255</f>
        <v>200955.55555555556</v>
      </c>
    </row>
    <row r="256" spans="1:2">
      <c r="A256" s="2" t="s">
        <v>254</v>
      </c>
      <c r="B256">
        <f>Utilidad_Millones!B256*1000000/Empleados!B256</f>
        <v>253647.0588235294</v>
      </c>
    </row>
    <row r="257" spans="1:3">
      <c r="A257" s="2" t="s">
        <v>255</v>
      </c>
      <c r="B257">
        <f>Utilidad_Millones!B257*1000000/Empleados!B257</f>
        <v>65406.168387016551</v>
      </c>
      <c r="C257" s="8"/>
    </row>
    <row r="258" spans="1:3">
      <c r="A258" s="2" t="s">
        <v>256</v>
      </c>
      <c r="B258">
        <f>Utilidad_Millones!B258*1000000/Empleados!B258</f>
        <v>79892.46539253724</v>
      </c>
    </row>
    <row r="259" spans="1:3">
      <c r="A259" s="2" t="s">
        <v>257</v>
      </c>
      <c r="B259">
        <f>Utilidad_Millones!B259*1000000/Empleados!B259</f>
        <v>54006.282358883698</v>
      </c>
    </row>
    <row r="260" spans="1:3">
      <c r="A260" s="2" t="s">
        <v>258</v>
      </c>
      <c r="B260">
        <f>Utilidad_Millones!B260*1000000/Empleados!B260</f>
        <v>42535.728912935694</v>
      </c>
    </row>
    <row r="261" spans="1:3">
      <c r="A261" s="2" t="s">
        <v>259</v>
      </c>
      <c r="B261">
        <f>Utilidad_Millones!B261*1000000/Empleados!B261</f>
        <v>120738.80435044732</v>
      </c>
    </row>
    <row r="262" spans="1:3">
      <c r="A262" s="2" t="s">
        <v>260</v>
      </c>
      <c r="B262">
        <f>Utilidad_Millones!B262*1000000/Empleados!B262</f>
        <v>36396.256020223591</v>
      </c>
    </row>
    <row r="263" spans="1:3">
      <c r="A263" s="2" t="s">
        <v>280</v>
      </c>
      <c r="B263">
        <f>Utilidad_Millones!B263*1000000/Empleados!B263</f>
        <v>77696.548134478435</v>
      </c>
    </row>
    <row r="264" spans="1:3">
      <c r="A264" s="2" t="s">
        <v>262</v>
      </c>
      <c r="B264">
        <f>Utilidad_Millones!B264*1000000/Empleados!B264</f>
        <v>-8682.0720506101279</v>
      </c>
    </row>
    <row r="265" spans="1:3">
      <c r="A265" s="2" t="s">
        <v>263</v>
      </c>
      <c r="B265">
        <f>Utilidad_Millones!B265*1000000/Empleados!B265</f>
        <v>71121.951219512193</v>
      </c>
    </row>
    <row r="266" spans="1:3">
      <c r="A266" s="2" t="s">
        <v>264</v>
      </c>
      <c r="B266">
        <f>Utilidad_Millones!B266*1000000/Empleados!B266</f>
        <v>26175.824175824175</v>
      </c>
    </row>
    <row r="267" spans="1:3">
      <c r="A267" s="2" t="s">
        <v>265</v>
      </c>
      <c r="B267">
        <f>Utilidad_Millones!B267*1000000/Empleados!B267</f>
        <v>26440.677966101695</v>
      </c>
    </row>
    <row r="268" spans="1:3">
      <c r="A268" s="2" t="s">
        <v>266</v>
      </c>
      <c r="B268">
        <f>Utilidad_Millones!B268*1000000/Empleados!B268</f>
        <v>64328.663080065591</v>
      </c>
    </row>
    <row r="269" spans="1:3">
      <c r="A269" s="2" t="s">
        <v>267</v>
      </c>
      <c r="B269">
        <f>Utilidad_Millones!B269*1000000/Empleados!B269</f>
        <v>51506.544464290942</v>
      </c>
    </row>
    <row r="270" spans="1:3">
      <c r="A270" s="2" t="s">
        <v>268</v>
      </c>
      <c r="B270">
        <f>Utilidad_Millones!B270*1000000/Empleados!B270</f>
        <v>67124.095749635191</v>
      </c>
    </row>
    <row r="271" spans="1:3">
      <c r="A271" s="2" t="s">
        <v>269</v>
      </c>
      <c r="B271">
        <f>Utilidad_Millones!B271*1000000/Empleados!B271</f>
        <v>90991.194400541877</v>
      </c>
    </row>
    <row r="272" spans="1:3">
      <c r="A272" s="2" t="s">
        <v>270</v>
      </c>
      <c r="B272">
        <f>Utilidad_Millones!B272*1000000/Empleados!B272</f>
        <v>99609.700770590789</v>
      </c>
    </row>
    <row r="273" spans="1:2">
      <c r="A273" s="2" t="s">
        <v>271</v>
      </c>
      <c r="B273">
        <f>Utilidad_Millones!B273*1000000/Empleados!B273</f>
        <v>120375.02092750711</v>
      </c>
    </row>
    <row r="274" spans="1:2">
      <c r="A274" s="2" t="s">
        <v>281</v>
      </c>
      <c r="B274">
        <f>Utilidad_Millones!B274*1000000/Empleados!B274</f>
        <v>186697.00214132763</v>
      </c>
    </row>
    <row r="275" spans="1:2">
      <c r="A275" s="2" t="s">
        <v>273</v>
      </c>
      <c r="B275">
        <f>Utilidad_Millones!B275*1000000/Empleados!B275</f>
        <v>168536.68368718086</v>
      </c>
    </row>
    <row r="276" spans="1:2">
      <c r="A276" s="2" t="s">
        <v>274</v>
      </c>
      <c r="B276">
        <f>Utilidad_Millones!B276*1000000/Empleados!B276</f>
        <v>186500</v>
      </c>
    </row>
    <row r="277" spans="1:2">
      <c r="A277" s="2" t="s">
        <v>275</v>
      </c>
      <c r="B277">
        <f>Utilidad_Millones!B277*1000000/Empleados!B277</f>
        <v>250612.90322580645</v>
      </c>
    </row>
    <row r="278" spans="1:2">
      <c r="A278" s="2" t="s">
        <v>276</v>
      </c>
      <c r="B278">
        <f>Utilidad_Millones!B278*1000000/Empleados!B278</f>
        <v>265121.2121212121</v>
      </c>
    </row>
  </sheetData>
  <phoneticPr fontId="2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71C1-06AD-4E87-8ADF-086542E3F367}">
  <sheetPr codeName="Hoja10"/>
  <dimension ref="A1:B278"/>
  <sheetViews>
    <sheetView topLeftCell="A241" workbookViewId="0">
      <selection activeCell="D268" sqref="D268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59.201900000000002</v>
      </c>
    </row>
    <row r="3" spans="1:2">
      <c r="A3" s="2" t="s">
        <v>1</v>
      </c>
      <c r="B3">
        <f>(Utilidad_Millones!B3-Utilidad_Millones!B2)/Utilidad_Millones!B2*100</f>
        <v>-3.5038874495511707</v>
      </c>
    </row>
    <row r="4" spans="1:2">
      <c r="A4" s="2" t="s">
        <v>2</v>
      </c>
      <c r="B4">
        <f>(Utilidad_Millones!B4-Utilidad_Millones!B3)/Utilidad_Millones!B3*100</f>
        <v>7.7217895861963637</v>
      </c>
    </row>
    <row r="5" spans="1:2">
      <c r="A5" s="2" t="s">
        <v>3</v>
      </c>
      <c r="B5">
        <f>(Utilidad_Millones!B5-Utilidad_Millones!B4)/Utilidad_Millones!B4*100</f>
        <v>9.0223538917317541</v>
      </c>
    </row>
    <row r="6" spans="1:2">
      <c r="A6" s="2" t="s">
        <v>4</v>
      </c>
      <c r="B6">
        <f>(Utilidad_Millones!B6-Utilidad_Millones!B5)/Utilidad_Millones!B5*100</f>
        <v>-8.1417724152277913</v>
      </c>
    </row>
    <row r="7" spans="1:2">
      <c r="A7" s="2" t="s">
        <v>5</v>
      </c>
      <c r="B7">
        <f>(Utilidad_Millones!B7-Utilidad_Millones!B6)/Utilidad_Millones!B6*100</f>
        <v>7.422505307855622</v>
      </c>
    </row>
    <row r="8" spans="1:2">
      <c r="A8" s="2" t="s">
        <v>6</v>
      </c>
      <c r="B8">
        <f>(Utilidad_Millones!B8-Utilidad_Millones!B7)/Utilidad_Millones!B7*100</f>
        <v>5.0125996313255969</v>
      </c>
    </row>
    <row r="9" spans="1:2">
      <c r="A9" s="2" t="s">
        <v>7</v>
      </c>
      <c r="B9">
        <f>(Utilidad_Millones!B9-Utilidad_Millones!B8)/Utilidad_Millones!B8*100</f>
        <v>-30.97465569749701</v>
      </c>
    </row>
    <row r="10" spans="1:2">
      <c r="A10" s="2" t="s">
        <v>8</v>
      </c>
      <c r="B10">
        <f>(Utilidad_Millones!B10-Utilidad_Millones!B9)/Utilidad_Millones!B9*100</f>
        <v>-21.809786955573333</v>
      </c>
    </row>
    <row r="11" spans="1:2">
      <c r="A11" s="2" t="s">
        <v>9</v>
      </c>
      <c r="B11">
        <f>(Utilidad_Millones!B11-Utilidad_Millones!B10)/Utilidad_Millones!B10*100</f>
        <v>240.34500395220167</v>
      </c>
    </row>
    <row r="12" spans="1:2">
      <c r="A12" s="2" t="s">
        <v>10</v>
      </c>
      <c r="B12">
        <f>(Utilidad_Millones!B12-Utilidad_Millones!B11)/Utilidad_Millones!B11*100</f>
        <v>28.894232082843779</v>
      </c>
    </row>
    <row r="13" spans="1:2">
      <c r="A13" s="2" t="s">
        <v>11</v>
      </c>
      <c r="B13">
        <v>126.4019</v>
      </c>
    </row>
    <row r="14" spans="1:2">
      <c r="A14" s="2" t="s">
        <v>12</v>
      </c>
      <c r="B14">
        <v>40.1</v>
      </c>
    </row>
    <row r="15" spans="1:2">
      <c r="A15" s="2" t="s">
        <v>13</v>
      </c>
      <c r="B15">
        <v>5.5</v>
      </c>
    </row>
    <row r="16" spans="1:2">
      <c r="A16" s="2" t="s">
        <v>14</v>
      </c>
      <c r="B16">
        <v>23.4</v>
      </c>
    </row>
    <row r="17" spans="1:2">
      <c r="A17" s="2" t="s">
        <v>15</v>
      </c>
      <c r="B17">
        <v>-4</v>
      </c>
    </row>
    <row r="18" spans="1:2">
      <c r="A18" s="2" t="s">
        <v>16</v>
      </c>
      <c r="B18">
        <v>2.4</v>
      </c>
    </row>
    <row r="19" spans="1:2">
      <c r="A19" s="2" t="s">
        <v>17</v>
      </c>
      <c r="B19">
        <v>1.6</v>
      </c>
    </row>
    <row r="20" spans="1:2">
      <c r="A20" s="2" t="s">
        <v>18</v>
      </c>
      <c r="B20">
        <v>-140.1</v>
      </c>
    </row>
    <row r="21" spans="1:2">
      <c r="A21" s="2" t="s">
        <v>19</v>
      </c>
      <c r="B21">
        <v>25.100364963503651</v>
      </c>
    </row>
    <row r="22" spans="1:2">
      <c r="A22" s="2" t="s">
        <v>20</v>
      </c>
      <c r="B22">
        <v>256.96167883211677</v>
      </c>
    </row>
    <row r="23" spans="1:2">
      <c r="A23" s="2" t="s">
        <v>21</v>
      </c>
      <c r="B23">
        <v>-95.9</v>
      </c>
    </row>
    <row r="24" spans="1:2">
      <c r="A24" s="2" t="s">
        <v>22</v>
      </c>
      <c r="B24">
        <v>-32.3001</v>
      </c>
    </row>
    <row r="25" spans="1:2">
      <c r="A25" s="2" t="s">
        <v>23</v>
      </c>
      <c r="B25">
        <v>93.4</v>
      </c>
    </row>
    <row r="26" spans="1:2">
      <c r="A26" s="2" t="s">
        <v>24</v>
      </c>
      <c r="B26">
        <v>31.1</v>
      </c>
    </row>
    <row r="27" spans="1:2">
      <c r="A27" s="2" t="s">
        <v>25</v>
      </c>
      <c r="B27">
        <v>-15.1</v>
      </c>
    </row>
    <row r="28" spans="1:2">
      <c r="A28" s="2" t="s">
        <v>26</v>
      </c>
      <c r="B28">
        <v>-13.4</v>
      </c>
    </row>
    <row r="29" spans="1:2">
      <c r="A29" s="2" t="s">
        <v>27</v>
      </c>
      <c r="B29">
        <v>16.899999999999999</v>
      </c>
    </row>
    <row r="30" spans="1:2">
      <c r="A30" s="2" t="s">
        <v>28</v>
      </c>
      <c r="B30">
        <v>-20.7</v>
      </c>
    </row>
    <row r="31" spans="1:2">
      <c r="A31" s="2" t="s">
        <v>29</v>
      </c>
      <c r="B31">
        <v>-72.7</v>
      </c>
    </row>
    <row r="32" spans="1:2">
      <c r="A32" s="2" t="s">
        <v>30</v>
      </c>
      <c r="B32">
        <v>88.3</v>
      </c>
    </row>
    <row r="33" spans="1:2">
      <c r="A33" s="2" t="s">
        <v>31</v>
      </c>
      <c r="B33">
        <v>99.1</v>
      </c>
    </row>
    <row r="34" spans="1:2">
      <c r="A34" s="2" t="s">
        <v>32</v>
      </c>
      <c r="B34">
        <v>-1.1000000000000001</v>
      </c>
    </row>
    <row r="35" spans="1:2">
      <c r="A35" s="2" t="s">
        <v>33</v>
      </c>
      <c r="B35">
        <v>208.1019</v>
      </c>
    </row>
    <row r="36" spans="1:2">
      <c r="A36" s="2" t="s">
        <v>34</v>
      </c>
      <c r="B36">
        <v>-72</v>
      </c>
    </row>
    <row r="37" spans="1:2">
      <c r="A37" s="2" t="s">
        <v>35</v>
      </c>
      <c r="B37">
        <v>26.3</v>
      </c>
    </row>
    <row r="38" spans="1:2">
      <c r="A38" s="2" t="s">
        <v>36</v>
      </c>
      <c r="B38">
        <v>-55.5</v>
      </c>
    </row>
    <row r="39" spans="1:2">
      <c r="A39" s="2" t="s">
        <v>37</v>
      </c>
      <c r="B39">
        <v>131.30000000000001</v>
      </c>
    </row>
    <row r="40" spans="1:2">
      <c r="A40" s="2" t="s">
        <v>38</v>
      </c>
      <c r="B40">
        <v>-37.700000000000003</v>
      </c>
    </row>
    <row r="41" spans="1:2">
      <c r="A41" s="2" t="s">
        <v>39</v>
      </c>
      <c r="B41">
        <v>-51.6</v>
      </c>
    </row>
    <row r="42" spans="1:2">
      <c r="A42" s="2" t="s">
        <v>40</v>
      </c>
      <c r="B42">
        <v>-98.7</v>
      </c>
    </row>
    <row r="43" spans="1:2">
      <c r="A43" s="2" t="s">
        <v>41</v>
      </c>
      <c r="B43">
        <v>-2821.3</v>
      </c>
    </row>
    <row r="44" spans="1:2">
      <c r="A44" s="2" t="s">
        <v>42</v>
      </c>
      <c r="B44">
        <v>1502.4237685691946</v>
      </c>
    </row>
    <row r="45" spans="1:2">
      <c r="A45" s="2" t="s">
        <v>43</v>
      </c>
      <c r="B45">
        <v>-111</v>
      </c>
    </row>
    <row r="46" spans="1:2">
      <c r="A46" s="2" t="s">
        <v>44</v>
      </c>
      <c r="B46">
        <v>48.901899999999998</v>
      </c>
    </row>
    <row r="47" spans="1:2">
      <c r="A47" s="2" t="s">
        <v>45</v>
      </c>
      <c r="B47">
        <v>-32.700000000000003</v>
      </c>
    </row>
    <row r="48" spans="1:2">
      <c r="A48" s="2" t="s">
        <v>46</v>
      </c>
      <c r="B48">
        <v>-13.6</v>
      </c>
    </row>
    <row r="49" spans="1:2">
      <c r="A49" s="2" t="s">
        <v>47</v>
      </c>
      <c r="B49">
        <v>-26.1</v>
      </c>
    </row>
    <row r="50" spans="1:2">
      <c r="A50" s="2" t="s">
        <v>48</v>
      </c>
      <c r="B50">
        <v>145.30000000000001</v>
      </c>
    </row>
    <row r="51" spans="1:2">
      <c r="A51" s="2" t="s">
        <v>49</v>
      </c>
      <c r="B51">
        <v>-2.7</v>
      </c>
    </row>
    <row r="52" spans="1:2">
      <c r="A52" s="2" t="s">
        <v>50</v>
      </c>
      <c r="B52" s="3">
        <v>0</v>
      </c>
    </row>
    <row r="53" spans="1:2">
      <c r="A53" s="2" t="s">
        <v>51</v>
      </c>
      <c r="B53">
        <v>-16</v>
      </c>
    </row>
    <row r="54" spans="1:2">
      <c r="A54" s="2" t="s">
        <v>52</v>
      </c>
      <c r="B54">
        <v>-4.5</v>
      </c>
    </row>
    <row r="55" spans="1:2">
      <c r="A55" s="2" t="s">
        <v>53</v>
      </c>
      <c r="B55">
        <v>55.9</v>
      </c>
    </row>
    <row r="56" spans="1:2">
      <c r="A56" s="2" t="s">
        <v>54</v>
      </c>
      <c r="B56">
        <v>-0.8</v>
      </c>
    </row>
    <row r="57" spans="1:2">
      <c r="A57" s="2" t="s">
        <v>55</v>
      </c>
      <c r="B57">
        <v>57.701900000000002</v>
      </c>
    </row>
    <row r="58" spans="1:2">
      <c r="A58" s="2" t="s">
        <v>56</v>
      </c>
      <c r="B58">
        <v>-52</v>
      </c>
    </row>
    <row r="59" spans="1:2">
      <c r="A59" s="2" t="s">
        <v>57</v>
      </c>
      <c r="B59">
        <v>25.3</v>
      </c>
    </row>
    <row r="60" spans="1:2">
      <c r="A60" s="2" t="s">
        <v>58</v>
      </c>
      <c r="B60">
        <v>-17</v>
      </c>
    </row>
    <row r="61" spans="1:2">
      <c r="A61" s="2" t="s">
        <v>59</v>
      </c>
      <c r="B61">
        <v>-27.5</v>
      </c>
    </row>
    <row r="62" spans="1:2">
      <c r="A62" s="2" t="s">
        <v>60</v>
      </c>
      <c r="B62">
        <v>48.8</v>
      </c>
    </row>
    <row r="63" spans="1:2">
      <c r="A63" s="2" t="s">
        <v>61</v>
      </c>
      <c r="B63">
        <v>-38.700000000000003</v>
      </c>
    </row>
    <row r="64" spans="1:2">
      <c r="A64" s="2" t="s">
        <v>62</v>
      </c>
      <c r="B64">
        <v>-59.9</v>
      </c>
    </row>
    <row r="65" spans="1:2">
      <c r="A65" s="2" t="s">
        <v>63</v>
      </c>
      <c r="B65">
        <v>487.3</v>
      </c>
    </row>
    <row r="66" spans="1:2">
      <c r="A66" s="2" t="s">
        <v>64</v>
      </c>
      <c r="B66">
        <v>9.8000000000000007</v>
      </c>
    </row>
    <row r="67" spans="1:2">
      <c r="A67" s="2" t="s">
        <v>65</v>
      </c>
      <c r="B67">
        <v>-7.7</v>
      </c>
    </row>
    <row r="68" spans="1:2">
      <c r="A68" s="2" t="s">
        <v>66</v>
      </c>
      <c r="B68">
        <v>2.2019000000000002</v>
      </c>
    </row>
    <row r="69" spans="1:2">
      <c r="A69" s="2" t="s">
        <v>67</v>
      </c>
      <c r="B69">
        <v>41.6</v>
      </c>
    </row>
    <row r="70" spans="1:2">
      <c r="A70" s="2" t="s">
        <v>68</v>
      </c>
      <c r="B70">
        <v>34.1</v>
      </c>
    </row>
    <row r="71" spans="1:2">
      <c r="A71" s="2" t="s">
        <v>69</v>
      </c>
      <c r="B71">
        <v>8</v>
      </c>
    </row>
    <row r="72" spans="1:2">
      <c r="A72" s="2" t="s">
        <v>70</v>
      </c>
      <c r="B72">
        <v>12.5</v>
      </c>
    </row>
    <row r="73" spans="1:2">
      <c r="A73" s="2" t="s">
        <v>71</v>
      </c>
      <c r="B73">
        <v>0.9</v>
      </c>
    </row>
    <row r="74" spans="1:2">
      <c r="A74" s="2" t="s">
        <v>72</v>
      </c>
      <c r="B74">
        <v>308.8</v>
      </c>
    </row>
    <row r="75" spans="1:2">
      <c r="A75" s="2" t="s">
        <v>73</v>
      </c>
      <c r="B75">
        <v>-9.1999999999999993</v>
      </c>
    </row>
    <row r="76" spans="1:2">
      <c r="A76" s="2" t="s">
        <v>74</v>
      </c>
      <c r="B76">
        <v>-22.2</v>
      </c>
    </row>
    <row r="77" spans="1:2">
      <c r="A77" s="2" t="s">
        <v>75</v>
      </c>
      <c r="B77">
        <v>16</v>
      </c>
    </row>
    <row r="78" spans="1:2">
      <c r="A78" s="2" t="s">
        <v>76</v>
      </c>
      <c r="B78">
        <v>-10.4</v>
      </c>
    </row>
    <row r="79" spans="1:2">
      <c r="A79" s="2" t="s">
        <v>77</v>
      </c>
      <c r="B79">
        <v>32.901899999999998</v>
      </c>
    </row>
    <row r="80" spans="1:2">
      <c r="A80" s="2" t="s">
        <v>78</v>
      </c>
      <c r="B80">
        <v>11.3</v>
      </c>
    </row>
    <row r="81" spans="1:2">
      <c r="A81" s="2" t="s">
        <v>79</v>
      </c>
      <c r="B81">
        <v>1.6</v>
      </c>
    </row>
    <row r="82" spans="1:2">
      <c r="A82" s="2" t="s">
        <v>80</v>
      </c>
      <c r="B82">
        <v>-18.5</v>
      </c>
    </row>
    <row r="83" spans="1:2">
      <c r="A83" s="2" t="s">
        <v>81</v>
      </c>
      <c r="B83">
        <v>-18.2</v>
      </c>
    </row>
    <row r="84" spans="1:2">
      <c r="A84" s="2" t="s">
        <v>82</v>
      </c>
      <c r="B84">
        <v>2</v>
      </c>
    </row>
    <row r="85" spans="1:2">
      <c r="A85" s="2" t="s">
        <v>83</v>
      </c>
      <c r="B85">
        <v>22.7</v>
      </c>
    </row>
    <row r="86" spans="1:2">
      <c r="A86" s="2" t="s">
        <v>84</v>
      </c>
      <c r="B86">
        <v>49.2</v>
      </c>
    </row>
    <row r="87" spans="1:2">
      <c r="A87" s="2" t="s">
        <v>85</v>
      </c>
      <c r="B87">
        <v>-19.600000000000001</v>
      </c>
    </row>
    <row r="88" spans="1:2">
      <c r="A88" s="2" t="s">
        <v>86</v>
      </c>
      <c r="B88">
        <v>229.9</v>
      </c>
    </row>
    <row r="89" spans="1:2">
      <c r="A89" s="2" t="s">
        <v>87</v>
      </c>
      <c r="B89">
        <v>0.7</v>
      </c>
    </row>
    <row r="90" spans="1:2">
      <c r="A90" s="2" t="s">
        <v>88</v>
      </c>
      <c r="B90">
        <v>-139.90010000000001</v>
      </c>
    </row>
    <row r="91" spans="1:2">
      <c r="A91" s="2" t="s">
        <v>89</v>
      </c>
      <c r="B91">
        <v>113.989145083948</v>
      </c>
    </row>
    <row r="92" spans="1:2">
      <c r="A92" s="2" t="s">
        <v>90</v>
      </c>
      <c r="B92">
        <v>172.4</v>
      </c>
    </row>
    <row r="93" spans="1:2">
      <c r="A93" s="2" t="s">
        <v>91</v>
      </c>
      <c r="B93">
        <v>134.9</v>
      </c>
    </row>
    <row r="94" spans="1:2">
      <c r="A94" s="2" t="s">
        <v>92</v>
      </c>
      <c r="B94">
        <v>-71</v>
      </c>
    </row>
    <row r="95" spans="1:2">
      <c r="A95" s="2" t="s">
        <v>93</v>
      </c>
      <c r="B95">
        <v>-39.799999999999997</v>
      </c>
    </row>
    <row r="96" spans="1:2">
      <c r="A96" s="2" t="s">
        <v>94</v>
      </c>
      <c r="B96">
        <v>-26.2</v>
      </c>
    </row>
    <row r="97" spans="1:2">
      <c r="A97" s="2" t="s">
        <v>95</v>
      </c>
      <c r="B97">
        <v>-97.6</v>
      </c>
    </row>
    <row r="98" spans="1:2">
      <c r="A98" s="2" t="s">
        <v>96</v>
      </c>
      <c r="B98">
        <v>6115.2</v>
      </c>
    </row>
    <row r="99" spans="1:2">
      <c r="A99" s="2" t="s">
        <v>97</v>
      </c>
      <c r="B99">
        <v>-46</v>
      </c>
    </row>
    <row r="100" spans="1:2">
      <c r="A100" s="2" t="s">
        <v>98</v>
      </c>
      <c r="B100">
        <v>2.8</v>
      </c>
    </row>
    <row r="101" spans="1:2">
      <c r="A101" s="2" t="s">
        <v>99</v>
      </c>
      <c r="B101">
        <v>16.001899999999999</v>
      </c>
    </row>
    <row r="102" spans="1:2">
      <c r="A102" s="2" t="s">
        <v>100</v>
      </c>
      <c r="B102">
        <v>-4.5999999999999996</v>
      </c>
    </row>
    <row r="103" spans="1:2">
      <c r="A103" s="2" t="s">
        <v>101</v>
      </c>
      <c r="B103">
        <v>-5.8</v>
      </c>
    </row>
    <row r="104" spans="1:2">
      <c r="A104" s="2" t="s">
        <v>102</v>
      </c>
      <c r="B104">
        <v>7.2</v>
      </c>
    </row>
    <row r="105" spans="1:2">
      <c r="A105" s="2" t="s">
        <v>103</v>
      </c>
      <c r="B105">
        <v>4.8</v>
      </c>
    </row>
    <row r="106" spans="1:2">
      <c r="A106" s="2" t="s">
        <v>104</v>
      </c>
      <c r="B106">
        <v>40.299999999999997</v>
      </c>
    </row>
    <row r="107" spans="1:2">
      <c r="A107" s="2" t="s">
        <v>105</v>
      </c>
      <c r="B107">
        <v>-57.3</v>
      </c>
    </row>
    <row r="108" spans="1:2">
      <c r="A108" s="2" t="s">
        <v>106</v>
      </c>
      <c r="B108">
        <v>-314.5</v>
      </c>
    </row>
    <row r="109" spans="1:2">
      <c r="A109" s="2" t="s">
        <v>107</v>
      </c>
      <c r="B109">
        <v>31.43981728946985</v>
      </c>
    </row>
    <row r="110" spans="1:2">
      <c r="A110" s="2" t="s">
        <v>108</v>
      </c>
      <c r="B110">
        <v>145.33040376119263</v>
      </c>
    </row>
    <row r="111" spans="1:2">
      <c r="A111" s="2" t="s">
        <v>109</v>
      </c>
      <c r="B111">
        <v>-14.6</v>
      </c>
    </row>
    <row r="112" spans="1:2">
      <c r="A112" s="2" t="s">
        <v>110</v>
      </c>
      <c r="B112">
        <v>-1231.7001</v>
      </c>
    </row>
    <row r="113" spans="1:2">
      <c r="A113" s="2" t="s">
        <v>111</v>
      </c>
      <c r="B113">
        <v>-7.1250367384654147</v>
      </c>
    </row>
    <row r="114" spans="1:2">
      <c r="A114" s="2" t="s">
        <v>112</v>
      </c>
      <c r="B114">
        <v>-113.23600651781389</v>
      </c>
    </row>
    <row r="115" spans="1:2">
      <c r="A115" s="2" t="s">
        <v>113</v>
      </c>
      <c r="B115">
        <v>35.799999999999997</v>
      </c>
    </row>
    <row r="116" spans="1:2">
      <c r="A116" s="2" t="s">
        <v>114</v>
      </c>
      <c r="B116">
        <v>-1.4</v>
      </c>
    </row>
    <row r="117" spans="1:2">
      <c r="A117" s="2" t="s">
        <v>115</v>
      </c>
      <c r="B117">
        <v>0.2</v>
      </c>
    </row>
    <row r="118" spans="1:2">
      <c r="A118" s="2" t="s">
        <v>116</v>
      </c>
      <c r="B118">
        <v>20.3</v>
      </c>
    </row>
    <row r="119" spans="1:2">
      <c r="A119" s="2" t="s">
        <v>117</v>
      </c>
      <c r="B119">
        <v>-19</v>
      </c>
    </row>
    <row r="120" spans="1:2">
      <c r="A120" s="2" t="s">
        <v>118</v>
      </c>
      <c r="B120">
        <v>-25</v>
      </c>
    </row>
    <row r="121" spans="1:2">
      <c r="A121" s="2" t="s">
        <v>119</v>
      </c>
      <c r="B121">
        <v>46</v>
      </c>
    </row>
    <row r="122" spans="1:2">
      <c r="A122" s="2" t="s">
        <v>120</v>
      </c>
      <c r="B122">
        <v>-13.7</v>
      </c>
    </row>
    <row r="123" spans="1:2">
      <c r="A123" s="2" t="s">
        <v>121</v>
      </c>
      <c r="B123">
        <v>-11.8001</v>
      </c>
    </row>
    <row r="124" spans="1:2">
      <c r="A124" s="2" t="s">
        <v>122</v>
      </c>
      <c r="B124">
        <v>70.7</v>
      </c>
    </row>
    <row r="125" spans="1:2">
      <c r="A125" s="2" t="s">
        <v>123</v>
      </c>
      <c r="B125">
        <v>32.4</v>
      </c>
    </row>
    <row r="126" spans="1:2">
      <c r="A126" s="2" t="s">
        <v>124</v>
      </c>
      <c r="B126">
        <v>-19.5</v>
      </c>
    </row>
    <row r="127" spans="1:2">
      <c r="A127" s="2" t="s">
        <v>125</v>
      </c>
      <c r="B127">
        <v>-24.6</v>
      </c>
    </row>
    <row r="128" spans="1:2">
      <c r="A128" s="2" t="s">
        <v>126</v>
      </c>
      <c r="B128">
        <v>16.8</v>
      </c>
    </row>
    <row r="129" spans="1:2">
      <c r="A129" s="2" t="s">
        <v>127</v>
      </c>
      <c r="B129">
        <v>9.1</v>
      </c>
    </row>
    <row r="130" spans="1:2">
      <c r="A130" s="2" t="s">
        <v>128</v>
      </c>
      <c r="B130">
        <v>-53.7</v>
      </c>
    </row>
    <row r="131" spans="1:2">
      <c r="A131" s="2" t="s">
        <v>129</v>
      </c>
      <c r="B131">
        <v>19.899999999999999</v>
      </c>
    </row>
    <row r="132" spans="1:2">
      <c r="A132" s="2" t="s">
        <v>130</v>
      </c>
      <c r="B132">
        <v>55.1</v>
      </c>
    </row>
    <row r="133" spans="1:2">
      <c r="A133" s="2" t="s">
        <v>131</v>
      </c>
      <c r="B133">
        <v>23.6</v>
      </c>
    </row>
    <row r="134" spans="1:2">
      <c r="A134" s="2" t="s">
        <v>132</v>
      </c>
      <c r="B134" s="3">
        <v>0</v>
      </c>
    </row>
    <row r="135" spans="1:2">
      <c r="A135" s="2" t="s">
        <v>133</v>
      </c>
      <c r="B135">
        <v>108.96</v>
      </c>
    </row>
    <row r="136" spans="1:2">
      <c r="A136" s="2" t="s">
        <v>134</v>
      </c>
      <c r="B136">
        <v>-347.3</v>
      </c>
    </row>
    <row r="137" spans="1:2">
      <c r="A137" s="2" t="s">
        <v>135</v>
      </c>
      <c r="B137">
        <v>10.58</v>
      </c>
    </row>
    <row r="138" spans="1:2">
      <c r="A138" s="2" t="s">
        <v>136</v>
      </c>
      <c r="B138">
        <v>207.44</v>
      </c>
    </row>
    <row r="139" spans="1:2">
      <c r="A139" s="2" t="s">
        <v>137</v>
      </c>
      <c r="B139">
        <v>-45.1</v>
      </c>
    </row>
    <row r="140" spans="1:2">
      <c r="A140" s="2" t="s">
        <v>138</v>
      </c>
      <c r="B140">
        <v>86.6</v>
      </c>
    </row>
    <row r="141" spans="1:2">
      <c r="A141" s="2" t="s">
        <v>139</v>
      </c>
      <c r="B141">
        <v>-35.203291384317517</v>
      </c>
    </row>
    <row r="142" spans="1:2">
      <c r="A142" s="2" t="s">
        <v>140</v>
      </c>
      <c r="B142">
        <v>106.42414282512887</v>
      </c>
    </row>
    <row r="143" spans="1:2">
      <c r="A143" s="2" t="s">
        <v>141</v>
      </c>
      <c r="B143">
        <v>-28.954367807773036</v>
      </c>
    </row>
    <row r="144" spans="1:2">
      <c r="A144" s="2" t="s">
        <v>142</v>
      </c>
      <c r="B144">
        <v>-11.8</v>
      </c>
    </row>
    <row r="145" spans="1:2">
      <c r="A145" s="2" t="s">
        <v>143</v>
      </c>
      <c r="B145" s="4">
        <v>-37.836359734404169</v>
      </c>
    </row>
    <row r="146" spans="1:2">
      <c r="A146" s="2" t="s">
        <v>144</v>
      </c>
      <c r="B146" s="4">
        <v>-93.455729655570124</v>
      </c>
    </row>
    <row r="147" spans="1:2">
      <c r="A147" s="2" t="s">
        <v>145</v>
      </c>
      <c r="B147" s="4">
        <v>475.42000974590826</v>
      </c>
    </row>
    <row r="148" spans="1:2">
      <c r="A148" s="2" t="s">
        <v>146</v>
      </c>
      <c r="B148" s="4">
        <v>787.94278325186622</v>
      </c>
    </row>
    <row r="149" spans="1:2">
      <c r="A149" s="2" t="s">
        <v>147</v>
      </c>
      <c r="B149" s="4">
        <v>-38.131367647700095</v>
      </c>
    </row>
    <row r="150" spans="1:2">
      <c r="A150" s="2" t="s">
        <v>148</v>
      </c>
      <c r="B150" s="4">
        <v>69.675080099376444</v>
      </c>
    </row>
    <row r="151" spans="1:2">
      <c r="A151" s="2" t="s">
        <v>149</v>
      </c>
      <c r="B151" s="4">
        <v>-43.830057287070822</v>
      </c>
    </row>
    <row r="152" spans="1:2">
      <c r="A152" s="2" t="s">
        <v>150</v>
      </c>
      <c r="B152" s="4">
        <v>-45.931169245358994</v>
      </c>
    </row>
    <row r="153" spans="1:2">
      <c r="A153" s="2" t="s">
        <v>151</v>
      </c>
      <c r="B153">
        <f>((Utilidad_Millones!B153-Utilidad_Millones!B152)/Utilidad_Millones!B152)*100</f>
        <v>171.58880284519361</v>
      </c>
    </row>
    <row r="154" spans="1:2">
      <c r="A154" s="2" t="s">
        <v>152</v>
      </c>
      <c r="B154">
        <v>-23.1</v>
      </c>
    </row>
    <row r="155" spans="1:2">
      <c r="A155" s="2" t="s">
        <v>153</v>
      </c>
      <c r="B155">
        <v>423.4</v>
      </c>
    </row>
    <row r="156" spans="1:2">
      <c r="A156" s="2" t="s">
        <v>154</v>
      </c>
      <c r="B156">
        <v>-64.850837177958624</v>
      </c>
    </row>
    <row r="157" spans="1:2">
      <c r="A157" s="2" t="s">
        <v>155</v>
      </c>
      <c r="B157" s="4">
        <v>-55.737369846429601</v>
      </c>
    </row>
    <row r="158" spans="1:2">
      <c r="A158" s="2" t="s">
        <v>156</v>
      </c>
      <c r="B158" s="4">
        <v>81.319643726985234</v>
      </c>
    </row>
    <row r="159" spans="1:2">
      <c r="A159" s="2" t="s">
        <v>157</v>
      </c>
      <c r="B159" s="4">
        <v>-297.27619099089367</v>
      </c>
    </row>
    <row r="160" spans="1:2">
      <c r="A160" s="2" t="s">
        <v>158</v>
      </c>
      <c r="B160" s="4">
        <v>-202.22520745476805</v>
      </c>
    </row>
    <row r="161" spans="1:2">
      <c r="A161" s="2" t="s">
        <v>159</v>
      </c>
      <c r="B161" s="4">
        <v>24.052874936843327</v>
      </c>
    </row>
    <row r="162" spans="1:2">
      <c r="A162" s="2" t="s">
        <v>160</v>
      </c>
      <c r="B162" s="4">
        <v>-50.234985214642606</v>
      </c>
    </row>
    <row r="163" spans="1:2">
      <c r="A163" s="2" t="s">
        <v>161</v>
      </c>
      <c r="B163" s="4">
        <v>11.688561824665939</v>
      </c>
    </row>
    <row r="164" spans="1:2">
      <c r="A164" s="2" t="s">
        <v>162</v>
      </c>
      <c r="B164" s="4">
        <v>183.64269141531321</v>
      </c>
    </row>
    <row r="165" spans="1:2">
      <c r="A165" s="2" t="s">
        <v>163</v>
      </c>
      <c r="B165">
        <v>665.5</v>
      </c>
    </row>
    <row r="166" spans="1:2">
      <c r="A166" s="2" t="s">
        <v>164</v>
      </c>
      <c r="B166">
        <v>127.5</v>
      </c>
    </row>
    <row r="167" spans="1:2">
      <c r="A167" s="2" t="s">
        <v>165</v>
      </c>
      <c r="B167">
        <v>136.70189999999999</v>
      </c>
    </row>
    <row r="168" spans="1:2">
      <c r="A168" s="2" t="s">
        <v>166</v>
      </c>
      <c r="B168">
        <v>30.3</v>
      </c>
    </row>
    <row r="169" spans="1:2">
      <c r="A169" s="2" t="s">
        <v>167</v>
      </c>
      <c r="B169">
        <v>-56.7</v>
      </c>
    </row>
    <row r="170" spans="1:2">
      <c r="A170" s="2" t="s">
        <v>168</v>
      </c>
      <c r="B170">
        <v>20.7</v>
      </c>
    </row>
    <row r="171" spans="1:2">
      <c r="A171" s="2" t="s">
        <v>169</v>
      </c>
      <c r="B171">
        <v>-110.4</v>
      </c>
    </row>
    <row r="172" spans="1:2">
      <c r="A172" s="2" t="s">
        <v>170</v>
      </c>
      <c r="B172">
        <v>0</v>
      </c>
    </row>
    <row r="173" spans="1:2">
      <c r="A173" s="2" t="s">
        <v>171</v>
      </c>
      <c r="B173">
        <v>9.3000000000000007</v>
      </c>
    </row>
    <row r="174" spans="1:2">
      <c r="A174" s="2" t="s">
        <v>172</v>
      </c>
      <c r="B174">
        <v>8.5</v>
      </c>
    </row>
    <row r="175" spans="1:2">
      <c r="A175" s="2" t="s">
        <v>173</v>
      </c>
      <c r="B175">
        <v>-35</v>
      </c>
    </row>
    <row r="176" spans="1:2">
      <c r="A176" s="2" t="s">
        <v>174</v>
      </c>
      <c r="B176">
        <v>80</v>
      </c>
    </row>
    <row r="177" spans="1:2">
      <c r="A177" s="2" t="s">
        <v>175</v>
      </c>
      <c r="B177">
        <v>-16.3</v>
      </c>
    </row>
    <row r="178" spans="1:2">
      <c r="A178" s="2" t="s">
        <v>176</v>
      </c>
      <c r="B178">
        <v>81.301900000000003</v>
      </c>
    </row>
    <row r="179" spans="1:2">
      <c r="A179" s="2" t="s">
        <v>177</v>
      </c>
      <c r="B179">
        <v>-40.4</v>
      </c>
    </row>
    <row r="180" spans="1:2">
      <c r="A180" s="2" t="s">
        <v>178</v>
      </c>
      <c r="B180">
        <v>-66.3</v>
      </c>
    </row>
    <row r="181" spans="1:2">
      <c r="A181" s="2" t="s">
        <v>179</v>
      </c>
      <c r="B181">
        <v>-44.4</v>
      </c>
    </row>
    <row r="182" spans="1:2">
      <c r="A182" s="2" t="s">
        <v>180</v>
      </c>
      <c r="B182">
        <v>483.8</v>
      </c>
    </row>
    <row r="183" spans="1:2">
      <c r="A183" s="2" t="s">
        <v>181</v>
      </c>
      <c r="B183">
        <v>-14</v>
      </c>
    </row>
    <row r="184" spans="1:2">
      <c r="A184" s="2" t="s">
        <v>182</v>
      </c>
      <c r="B184">
        <v>16.600000000000001</v>
      </c>
    </row>
    <row r="185" spans="1:2">
      <c r="A185" s="2" t="s">
        <v>183</v>
      </c>
      <c r="B185">
        <v>32.4</v>
      </c>
    </row>
    <row r="186" spans="1:2">
      <c r="A186" s="2" t="s">
        <v>184</v>
      </c>
      <c r="B186">
        <v>-44.7</v>
      </c>
    </row>
    <row r="187" spans="1:2">
      <c r="A187" s="2" t="s">
        <v>185</v>
      </c>
      <c r="B187">
        <v>82.2</v>
      </c>
    </row>
    <row r="188" spans="1:2">
      <c r="A188" s="2" t="s">
        <v>186</v>
      </c>
      <c r="B188">
        <v>-15.3</v>
      </c>
    </row>
    <row r="189" spans="1:2">
      <c r="A189" s="2" t="s">
        <v>187</v>
      </c>
      <c r="B189">
        <v>-91.100099999999998</v>
      </c>
    </row>
    <row r="190" spans="1:2">
      <c r="A190" s="2" t="s">
        <v>188</v>
      </c>
      <c r="B190">
        <v>-41.8</v>
      </c>
    </row>
    <row r="191" spans="1:2">
      <c r="A191" s="2" t="s">
        <v>189</v>
      </c>
      <c r="B191">
        <v>125.4</v>
      </c>
    </row>
    <row r="192" spans="1:2">
      <c r="A192" s="2" t="s">
        <v>190</v>
      </c>
      <c r="B192">
        <v>133.19999999999999</v>
      </c>
    </row>
    <row r="193" spans="1:2">
      <c r="A193" s="2" t="s">
        <v>191</v>
      </c>
      <c r="B193">
        <v>4</v>
      </c>
    </row>
    <row r="194" spans="1:2">
      <c r="A194" s="2" t="s">
        <v>192</v>
      </c>
      <c r="B194">
        <v>341.6</v>
      </c>
    </row>
    <row r="195" spans="1:2">
      <c r="A195" s="2" t="s">
        <v>193</v>
      </c>
      <c r="B195">
        <v>8.1999999999999993</v>
      </c>
    </row>
    <row r="196" spans="1:2">
      <c r="A196" s="2" t="s">
        <v>194</v>
      </c>
      <c r="B196">
        <v>-37.4</v>
      </c>
    </row>
    <row r="197" spans="1:2">
      <c r="A197" s="2" t="s">
        <v>195</v>
      </c>
      <c r="B197">
        <v>9.8000000000000007</v>
      </c>
    </row>
    <row r="198" spans="1:2">
      <c r="A198" s="2" t="s">
        <v>196</v>
      </c>
      <c r="B198">
        <v>8.8000000000000007</v>
      </c>
    </row>
    <row r="199" spans="1:2">
      <c r="A199" s="2" t="s">
        <v>197</v>
      </c>
      <c r="B199">
        <v>-35.799999999999997</v>
      </c>
    </row>
    <row r="200" spans="1:2">
      <c r="A200" s="2" t="s">
        <v>198</v>
      </c>
      <c r="B200">
        <v>13.3019</v>
      </c>
    </row>
    <row r="201" spans="1:2">
      <c r="A201" s="2" t="s">
        <v>199</v>
      </c>
      <c r="B201">
        <v>15.4</v>
      </c>
    </row>
    <row r="202" spans="1:2">
      <c r="A202" s="2" t="s">
        <v>200</v>
      </c>
      <c r="B202">
        <v>12.3</v>
      </c>
    </row>
    <row r="203" spans="1:2">
      <c r="A203" s="2" t="s">
        <v>201</v>
      </c>
      <c r="B203">
        <v>19.8</v>
      </c>
    </row>
    <row r="204" spans="1:2">
      <c r="A204" s="2" t="s">
        <v>202</v>
      </c>
      <c r="B204">
        <v>7.4</v>
      </c>
    </row>
    <row r="205" spans="1:2">
      <c r="A205" s="2" t="s">
        <v>203</v>
      </c>
      <c r="B205">
        <v>-0.4</v>
      </c>
    </row>
    <row r="206" spans="1:2">
      <c r="A206" s="2" t="s">
        <v>204</v>
      </c>
      <c r="B206">
        <v>-6.1</v>
      </c>
    </row>
    <row r="207" spans="1:2">
      <c r="A207" s="2" t="s">
        <v>205</v>
      </c>
      <c r="B207">
        <v>-12.9</v>
      </c>
    </row>
    <row r="208" spans="1:2">
      <c r="A208" s="2" t="s">
        <v>206</v>
      </c>
      <c r="B208">
        <v>-7.3</v>
      </c>
    </row>
    <row r="209" spans="1:2">
      <c r="A209" s="2" t="s">
        <v>207</v>
      </c>
      <c r="B209">
        <v>44.3</v>
      </c>
    </row>
    <row r="210" spans="1:2">
      <c r="A210" s="2" t="s">
        <v>208</v>
      </c>
      <c r="B210">
        <v>-4.8</v>
      </c>
    </row>
    <row r="211" spans="1:2">
      <c r="A211" s="2" t="s">
        <v>209</v>
      </c>
      <c r="B211">
        <v>-24.600100000000001</v>
      </c>
    </row>
    <row r="212" spans="1:2">
      <c r="A212" s="2" t="s">
        <v>210</v>
      </c>
      <c r="B212">
        <v>222.6</v>
      </c>
    </row>
    <row r="213" spans="1:2">
      <c r="A213" s="2" t="s">
        <v>211</v>
      </c>
      <c r="B213">
        <v>57.1</v>
      </c>
    </row>
    <row r="214" spans="1:2">
      <c r="A214" s="2" t="s">
        <v>212</v>
      </c>
      <c r="B214">
        <v>8.6</v>
      </c>
    </row>
    <row r="215" spans="1:2">
      <c r="A215" s="2" t="s">
        <v>213</v>
      </c>
      <c r="B215">
        <v>-2.5</v>
      </c>
    </row>
    <row r="216" spans="1:2">
      <c r="A216" s="2" t="s">
        <v>214</v>
      </c>
      <c r="B216">
        <v>-12.3</v>
      </c>
    </row>
    <row r="217" spans="1:2">
      <c r="A217" s="2" t="s">
        <v>215</v>
      </c>
      <c r="B217">
        <v>-24.6</v>
      </c>
    </row>
    <row r="218" spans="1:2">
      <c r="A218" s="2" t="s">
        <v>216</v>
      </c>
      <c r="B218">
        <v>12.4</v>
      </c>
    </row>
    <row r="219" spans="1:2">
      <c r="A219" s="2" t="s">
        <v>217</v>
      </c>
      <c r="B219">
        <v>13.1</v>
      </c>
    </row>
    <row r="220" spans="1:2">
      <c r="A220" s="2" t="s">
        <v>218</v>
      </c>
      <c r="B220">
        <v>19.8</v>
      </c>
    </row>
    <row r="221" spans="1:2">
      <c r="A221" s="2" t="s">
        <v>219</v>
      </c>
      <c r="B221">
        <v>-28.6</v>
      </c>
    </row>
    <row r="222" spans="1:2">
      <c r="A222" s="2" t="s">
        <v>220</v>
      </c>
      <c r="B222">
        <v>4.6018999999999997</v>
      </c>
    </row>
    <row r="223" spans="1:2">
      <c r="A223" s="2" t="s">
        <v>221</v>
      </c>
      <c r="B223">
        <v>40.799999999999997</v>
      </c>
    </row>
    <row r="224" spans="1:2">
      <c r="A224" s="2" t="s">
        <v>222</v>
      </c>
      <c r="B224">
        <v>8.9</v>
      </c>
    </row>
    <row r="225" spans="1:2">
      <c r="A225" s="2" t="s">
        <v>223</v>
      </c>
      <c r="B225">
        <v>20.6</v>
      </c>
    </row>
    <row r="226" spans="1:2">
      <c r="A226" s="2" t="s">
        <v>224</v>
      </c>
      <c r="B226">
        <v>7</v>
      </c>
    </row>
    <row r="227" spans="1:2">
      <c r="A227" s="2" t="s">
        <v>225</v>
      </c>
      <c r="B227">
        <v>0.9</v>
      </c>
    </row>
    <row r="228" spans="1:2">
      <c r="A228" s="2" t="s">
        <v>226</v>
      </c>
      <c r="B228">
        <v>4.0999999999999996</v>
      </c>
    </row>
    <row r="229" spans="1:2">
      <c r="A229" s="2" t="s">
        <v>227</v>
      </c>
      <c r="B229">
        <v>-23.1</v>
      </c>
    </row>
    <row r="230" spans="1:2">
      <c r="A230" s="2" t="s">
        <v>228</v>
      </c>
      <c r="B230">
        <v>-57.1</v>
      </c>
    </row>
    <row r="231" spans="1:2">
      <c r="A231" s="2" t="s">
        <v>229</v>
      </c>
      <c r="B231">
        <v>100</v>
      </c>
    </row>
    <row r="232" spans="1:2">
      <c r="A232" s="2" t="s">
        <v>230</v>
      </c>
      <c r="B232">
        <v>-60.9</v>
      </c>
    </row>
    <row r="233" spans="1:2">
      <c r="A233" s="2" t="s">
        <v>231</v>
      </c>
      <c r="B233" s="4">
        <v>-38.629283489096565</v>
      </c>
    </row>
    <row r="234" spans="1:2">
      <c r="A234" s="2" t="s">
        <v>232</v>
      </c>
      <c r="B234" s="4">
        <v>-366.58530901272383</v>
      </c>
    </row>
    <row r="235" spans="1:2">
      <c r="A235" s="2" t="s">
        <v>233</v>
      </c>
      <c r="B235" s="4">
        <v>122.08718406803638</v>
      </c>
    </row>
    <row r="236" spans="1:2">
      <c r="A236" s="2" t="s">
        <v>234</v>
      </c>
      <c r="B236" s="4">
        <v>35.417648478601556</v>
      </c>
    </row>
    <row r="237" spans="1:2">
      <c r="A237" s="2" t="s">
        <v>235</v>
      </c>
      <c r="B237" s="4">
        <v>12.155172413793103</v>
      </c>
    </row>
    <row r="238" spans="1:2">
      <c r="A238" s="2" t="s">
        <v>236</v>
      </c>
      <c r="B238" s="4">
        <v>10.684089162182936</v>
      </c>
    </row>
    <row r="239" spans="1:2">
      <c r="A239" s="2" t="s">
        <v>237</v>
      </c>
      <c r="B239" s="4">
        <v>6.5972222222222223</v>
      </c>
    </row>
    <row r="240" spans="1:2">
      <c r="A240" s="2" t="s">
        <v>238</v>
      </c>
      <c r="B240" s="4">
        <v>-18.11074918566775</v>
      </c>
    </row>
    <row r="241" spans="1:2">
      <c r="A241" s="2" t="s">
        <v>278</v>
      </c>
      <c r="B241" s="4">
        <v>13.60381861575179</v>
      </c>
    </row>
    <row r="242" spans="1:2">
      <c r="A242" s="2" t="s">
        <v>240</v>
      </c>
      <c r="B242" s="4">
        <v>-29.341736694677873</v>
      </c>
    </row>
    <row r="243" spans="1:2">
      <c r="A243" s="2" t="s">
        <v>241</v>
      </c>
      <c r="B243" s="4">
        <v>80.574826560951436</v>
      </c>
    </row>
    <row r="244" spans="1:2">
      <c r="A244" s="2" t="s">
        <v>242</v>
      </c>
      <c r="B244" s="4">
        <v>-66.575192096597149</v>
      </c>
    </row>
    <row r="245" spans="1:2">
      <c r="A245" s="2" t="s">
        <v>243</v>
      </c>
      <c r="B245" s="4">
        <v>-3.1198686371100166</v>
      </c>
    </row>
    <row r="246" spans="1:2">
      <c r="A246" s="2" t="s">
        <v>244</v>
      </c>
      <c r="B246" s="4">
        <v>30.643671080997841</v>
      </c>
    </row>
    <row r="247" spans="1:2">
      <c r="A247" s="2" t="s">
        <v>245</v>
      </c>
      <c r="B247" s="4">
        <f>(Utilidad_Millones!B247-Utilidad_Millones!B246)/Utilidad_Millones!B246*100</f>
        <v>42.833569071192834</v>
      </c>
    </row>
    <row r="248" spans="1:2">
      <c r="A248" s="2" t="s">
        <v>246</v>
      </c>
      <c r="B248" s="4">
        <f>(Utilidad_Millones!B248-Utilidad_Millones!B247)/Utilidad_Millones!B247*100</f>
        <v>13.104472685261594</v>
      </c>
    </row>
    <row r="249" spans="1:2">
      <c r="A249" s="2" t="s">
        <v>247</v>
      </c>
      <c r="B249" s="4">
        <f>(Utilidad_Millones!B249-Utilidad_Millones!B248)/Utilidad_Millones!B248*100</f>
        <v>16.255654457901649</v>
      </c>
    </row>
    <row r="250" spans="1:2">
      <c r="A250" s="2" t="s">
        <v>248</v>
      </c>
      <c r="B250" s="4">
        <f>(Utilidad_Millones!B250-Utilidad_Millones!B249)/Utilidad_Millones!B249*100</f>
        <v>-33.839588301744698</v>
      </c>
    </row>
    <row r="251" spans="1:2">
      <c r="A251" s="2" t="s">
        <v>249</v>
      </c>
      <c r="B251" s="4">
        <f>(Utilidad_Millones!B251-Utilidad_Millones!B250)/Utilidad_Millones!B250*100</f>
        <v>8.2337317397078351</v>
      </c>
    </row>
    <row r="252" spans="1:2">
      <c r="A252" s="2" t="s">
        <v>279</v>
      </c>
      <c r="B252" s="4">
        <f>(Utilidad_Millones!B252-Utilidad_Millones!B251)/Utilidad_Millones!B251*100</f>
        <v>-185.25854513584574</v>
      </c>
    </row>
    <row r="253" spans="1:2">
      <c r="A253" s="2" t="s">
        <v>251</v>
      </c>
      <c r="B253" s="4">
        <f>(Utilidad_Millones!B253-Utilidad_Millones!B252)/Utilidad_Millones!B252*100</f>
        <v>-190.17269736842107</v>
      </c>
    </row>
    <row r="254" spans="1:2">
      <c r="A254" s="2" t="s">
        <v>252</v>
      </c>
      <c r="B254" s="4">
        <f>(Utilidad_Millones!B254-Utilidad_Millones!B253)/Utilidad_Millones!B253*100</f>
        <v>18.513451892384861</v>
      </c>
    </row>
    <row r="255" spans="1:2">
      <c r="A255" s="2" t="s">
        <v>253</v>
      </c>
      <c r="B255" s="4">
        <f>(Utilidad_Millones!B255-Utilidad_Millones!B254)/Utilidad_Millones!B254*100</f>
        <v>73.970757983839945</v>
      </c>
    </row>
    <row r="256" spans="1:2">
      <c r="A256" s="2" t="s">
        <v>254</v>
      </c>
      <c r="B256" s="4">
        <f>(Utilidad_Millones!B256-Utilidad_Millones!B255)/Utilidad_Millones!B255*100</f>
        <v>43.049872829813111</v>
      </c>
    </row>
    <row r="257" spans="1:2">
      <c r="A257" s="2" t="s">
        <v>255</v>
      </c>
      <c r="B257">
        <v>96.935122707426871</v>
      </c>
    </row>
    <row r="258" spans="1:2">
      <c r="A258" s="2" t="s">
        <v>256</v>
      </c>
      <c r="B258" s="4">
        <f>(Utilidad_Millones!B258-Utilidad_Millones!B257)/Utilidad_Millones!B257*100</f>
        <v>58.567853958028707</v>
      </c>
    </row>
    <row r="259" spans="1:2">
      <c r="A259" s="2" t="s">
        <v>257</v>
      </c>
      <c r="B259" s="4">
        <f>(Utilidad_Millones!B259-Utilidad_Millones!B258)/Utilidad_Millones!B258*100</f>
        <v>2.5653585464487105</v>
      </c>
    </row>
    <row r="260" spans="1:2">
      <c r="A260" s="2" t="s">
        <v>258</v>
      </c>
      <c r="B260" s="4">
        <f>(Utilidad_Millones!B260-Utilidad_Millones!B259)/Utilidad_Millones!B259*100</f>
        <v>15.348777666257668</v>
      </c>
    </row>
    <row r="261" spans="1:2">
      <c r="A261" s="2" t="s">
        <v>259</v>
      </c>
      <c r="B261" s="4">
        <f>(Utilidad_Millones!B261-Utilidad_Millones!B260)/Utilidad_Millones!B260*100</f>
        <v>153.72418948195258</v>
      </c>
    </row>
    <row r="262" spans="1:2">
      <c r="A262" s="2" t="s">
        <v>260</v>
      </c>
      <c r="B262" s="4">
        <f>(Utilidad_Millones!B262-Utilidad_Millones!B261)/Utilidad_Millones!B261*100</f>
        <v>-66.642239282110523</v>
      </c>
    </row>
    <row r="263" spans="1:2">
      <c r="A263" s="2" t="s">
        <v>280</v>
      </c>
      <c r="B263" s="4">
        <f>(Utilidad_Millones!B263-Utilidad_Millones!B262)/Utilidad_Millones!B262*100</f>
        <v>96.633165979588227</v>
      </c>
    </row>
    <row r="264" spans="1:2">
      <c r="A264" s="2" t="s">
        <v>262</v>
      </c>
      <c r="B264" s="4">
        <f>(Utilidad_Millones!B264-Utilidad_Millones!B263)/Utilidad_Millones!B263*100</f>
        <v>-109.98781973203411</v>
      </c>
    </row>
    <row r="265" spans="1:2">
      <c r="A265" s="2" t="s">
        <v>263</v>
      </c>
      <c r="B265" s="4">
        <f>(Utilidad_Millones!B265-Utilidad_Millones!B264)/Utilidad_Millones!B264*100</f>
        <v>-989.02439024390242</v>
      </c>
    </row>
    <row r="266" spans="1:2">
      <c r="A266" s="2" t="s">
        <v>264</v>
      </c>
      <c r="B266" s="4">
        <f>(Utilidad_Millones!B266-Utilidad_Millones!B265)/Utilidad_Millones!B265*100</f>
        <v>-59.156378600823047</v>
      </c>
    </row>
    <row r="267" spans="1:2">
      <c r="A267" s="2" t="s">
        <v>265</v>
      </c>
      <c r="B267" s="4">
        <f>(Utilidad_Millones!B267-Utilidad_Millones!B266)/Utilidad_Millones!B266*100</f>
        <v>-8.3123425692695214</v>
      </c>
    </row>
    <row r="268" spans="1:2">
      <c r="A268" s="2" t="s">
        <v>266</v>
      </c>
      <c r="B268">
        <v>-30.731102850061959</v>
      </c>
    </row>
    <row r="269" spans="1:2">
      <c r="A269" s="2" t="s">
        <v>267</v>
      </c>
      <c r="B269" s="4">
        <f>(Utilidad_Millones!B269-Utilidad_Millones!B268)/Utilidad_Millones!B268*100</f>
        <v>-21.332737030411451</v>
      </c>
    </row>
    <row r="270" spans="1:2">
      <c r="A270" s="2" t="s">
        <v>268</v>
      </c>
      <c r="B270" s="4">
        <f>(Utilidad_Millones!B270-Utilidad_Millones!B269)/Utilidad_Millones!B269*100</f>
        <v>22.910744741330301</v>
      </c>
    </row>
    <row r="271" spans="1:2">
      <c r="A271" s="2" t="s">
        <v>269</v>
      </c>
      <c r="B271" s="4">
        <f>(Utilidad_Millones!B271-Utilidad_Millones!B270)/Utilidad_Millones!B270*100</f>
        <v>30.481036077705824</v>
      </c>
    </row>
    <row r="272" spans="1:2">
      <c r="A272" s="2" t="s">
        <v>270</v>
      </c>
      <c r="B272" s="4">
        <f>(Utilidad_Millones!B272-Utilidad_Millones!B271)/Utilidad_Millones!B271*100</f>
        <v>5.8489897199574621</v>
      </c>
    </row>
    <row r="273" spans="1:2">
      <c r="A273" s="2" t="s">
        <v>271</v>
      </c>
      <c r="B273" s="4">
        <f>(Utilidad_Millones!B273-Utilidad_Millones!B272)/Utilidad_Millones!B272*100</f>
        <v>20.395177494976558</v>
      </c>
    </row>
    <row r="274" spans="1:2">
      <c r="A274" s="2" t="s">
        <v>281</v>
      </c>
      <c r="B274" s="4">
        <f>(Utilidad_Millones!B274-Utilidad_Millones!B273)/Utilidad_Millones!B273*100</f>
        <v>55.215577190542419</v>
      </c>
    </row>
    <row r="275" spans="1:2">
      <c r="A275" s="2" t="s">
        <v>273</v>
      </c>
      <c r="B275" s="4">
        <f>(Utilidad_Millones!B275-Utilidad_Millones!B274)/Utilidad_Millones!B274*100</f>
        <v>-10.089605734767025</v>
      </c>
    </row>
    <row r="276" spans="1:2">
      <c r="A276" s="2" t="s">
        <v>274</v>
      </c>
      <c r="B276" s="4">
        <f>(Utilidad_Millones!B276-Utilidad_Millones!B275)/Utilidad_Millones!B275*100</f>
        <v>11.520829180785331</v>
      </c>
    </row>
    <row r="277" spans="1:2">
      <c r="A277" s="2" t="s">
        <v>275</v>
      </c>
      <c r="B277" s="4">
        <f>(Utilidad_Millones!B277-Utilidad_Millones!B276)/Utilidad_Millones!B276*100</f>
        <v>38.856121537086686</v>
      </c>
    </row>
    <row r="278" spans="1:2">
      <c r="A278" s="2" t="s">
        <v>276</v>
      </c>
      <c r="B278" s="4">
        <f>(Utilidad_Millones!B278-Utilidad_Millones!B277)/Utilidad_Millones!B277*100</f>
        <v>12.614236066417813</v>
      </c>
    </row>
  </sheetData>
  <phoneticPr fontId="2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28F8-5F56-4E2D-859F-33DC36D12D75}">
  <sheetPr codeName="Hoja11"/>
  <dimension ref="A1:E278"/>
  <sheetViews>
    <sheetView tabSelected="1" topLeftCell="A221" workbookViewId="0">
      <selection activeCell="F231" sqref="F231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6786.8019000000004</v>
      </c>
    </row>
    <row r="3" spans="1:2">
      <c r="A3" s="2" t="s">
        <v>1</v>
      </c>
      <c r="B3">
        <v>6549</v>
      </c>
    </row>
    <row r="4" spans="1:2">
      <c r="A4" s="2" t="s">
        <v>2</v>
      </c>
      <c r="B4">
        <v>7054.7</v>
      </c>
    </row>
    <row r="5" spans="1:2">
      <c r="A5" s="2" t="s">
        <v>3</v>
      </c>
      <c r="B5">
        <v>7691.2</v>
      </c>
    </row>
    <row r="6" spans="1:2">
      <c r="A6" s="2" t="s">
        <v>4</v>
      </c>
      <c r="B6">
        <v>7065</v>
      </c>
    </row>
    <row r="7" spans="1:2">
      <c r="A7" s="2" t="s">
        <v>5</v>
      </c>
      <c r="B7">
        <v>7589.4</v>
      </c>
    </row>
    <row r="8" spans="1:2">
      <c r="A8" s="2" t="s">
        <v>277</v>
      </c>
      <c r="B8" s="8">
        <v>7969.8262364198245</v>
      </c>
    </row>
    <row r="9" spans="1:2">
      <c r="A9" s="2" t="s">
        <v>7</v>
      </c>
      <c r="B9">
        <v>5501.2</v>
      </c>
    </row>
    <row r="10" spans="1:2">
      <c r="A10" s="2" t="s">
        <v>8</v>
      </c>
      <c r="B10">
        <v>4301.3999999999996</v>
      </c>
    </row>
    <row r="11" spans="1:2">
      <c r="A11" s="2" t="s">
        <v>9</v>
      </c>
      <c r="B11">
        <v>14639.6</v>
      </c>
    </row>
    <row r="12" spans="1:2">
      <c r="A12" s="2" t="s">
        <v>10</v>
      </c>
      <c r="B12">
        <v>18869.599999999999</v>
      </c>
    </row>
    <row r="13" spans="1:2">
      <c r="A13" s="2" t="s">
        <v>11</v>
      </c>
      <c r="B13">
        <v>1727.2019</v>
      </c>
    </row>
    <row r="14" spans="1:2">
      <c r="A14" s="2" t="s">
        <v>12</v>
      </c>
      <c r="B14">
        <v>2420.5</v>
      </c>
    </row>
    <row r="15" spans="1:2">
      <c r="A15" s="2" t="s">
        <v>13</v>
      </c>
      <c r="B15">
        <v>2553</v>
      </c>
    </row>
    <row r="16" spans="1:2">
      <c r="A16" s="2" t="s">
        <v>14</v>
      </c>
      <c r="B16">
        <v>3150.9</v>
      </c>
    </row>
    <row r="17" spans="1:2">
      <c r="A17" s="2" t="s">
        <v>15</v>
      </c>
      <c r="B17">
        <v>3025.4</v>
      </c>
    </row>
    <row r="18" spans="1:2">
      <c r="A18" s="2" t="s">
        <v>16</v>
      </c>
      <c r="B18">
        <v>3099.1</v>
      </c>
    </row>
    <row r="19" spans="1:2">
      <c r="A19" s="2" t="s">
        <v>17</v>
      </c>
      <c r="B19">
        <v>3419.3</v>
      </c>
    </row>
    <row r="20" spans="1:2">
      <c r="A20" s="2" t="s">
        <v>18</v>
      </c>
      <c r="B20">
        <v>-1371.1</v>
      </c>
    </row>
    <row r="21" spans="1:2">
      <c r="A21" s="2" t="s">
        <v>19</v>
      </c>
      <c r="B21">
        <v>-1096</v>
      </c>
    </row>
    <row r="22" spans="1:2">
      <c r="A22" s="2" t="s">
        <v>20</v>
      </c>
      <c r="B22">
        <v>1720.3</v>
      </c>
    </row>
    <row r="23" spans="1:2">
      <c r="A23" s="2" t="s">
        <v>21</v>
      </c>
      <c r="B23">
        <v>70</v>
      </c>
    </row>
    <row r="24" spans="1:2">
      <c r="A24" s="2" t="s">
        <v>22</v>
      </c>
      <c r="B24">
        <v>1131.0019</v>
      </c>
    </row>
    <row r="25" spans="1:2">
      <c r="A25" s="2" t="s">
        <v>23</v>
      </c>
      <c r="B25">
        <v>2187.9</v>
      </c>
    </row>
    <row r="26" spans="1:2">
      <c r="A26" s="2" t="s">
        <v>24</v>
      </c>
      <c r="B26">
        <v>2868.7</v>
      </c>
    </row>
    <row r="27" spans="1:2">
      <c r="A27" s="2" t="s">
        <v>25</v>
      </c>
      <c r="B27">
        <v>2350</v>
      </c>
    </row>
    <row r="28" spans="1:2">
      <c r="A28" s="2" t="s">
        <v>26</v>
      </c>
      <c r="B28">
        <v>2034.6</v>
      </c>
    </row>
    <row r="29" spans="1:2">
      <c r="A29" s="2" t="s">
        <v>27</v>
      </c>
      <c r="B29">
        <v>2377.6</v>
      </c>
    </row>
    <row r="30" spans="1:2">
      <c r="A30" s="2" t="s">
        <v>28</v>
      </c>
      <c r="B30">
        <v>2295.6</v>
      </c>
    </row>
    <row r="31" spans="1:2">
      <c r="A31" s="2" t="s">
        <v>29</v>
      </c>
      <c r="B31">
        <v>626.4</v>
      </c>
    </row>
    <row r="32" spans="1:2">
      <c r="A32" s="2" t="s">
        <v>30</v>
      </c>
      <c r="B32">
        <v>1179.7</v>
      </c>
    </row>
    <row r="33" spans="1:2">
      <c r="A33" s="2" t="s">
        <v>31</v>
      </c>
      <c r="B33">
        <v>2349.1999999999998</v>
      </c>
    </row>
    <row r="34" spans="1:2">
      <c r="A34" s="2" t="s">
        <v>32</v>
      </c>
      <c r="B34">
        <v>2324.5</v>
      </c>
    </row>
    <row r="35" spans="1:2">
      <c r="A35" s="2" t="s">
        <v>33</v>
      </c>
      <c r="B35">
        <v>20213.001899999999</v>
      </c>
    </row>
    <row r="36" spans="1:2">
      <c r="A36" s="2" t="s">
        <v>34</v>
      </c>
      <c r="B36">
        <v>5665</v>
      </c>
    </row>
    <row r="37" spans="1:2">
      <c r="A37" s="2" t="s">
        <v>35</v>
      </c>
      <c r="B37">
        <v>7155</v>
      </c>
    </row>
    <row r="38" spans="1:2">
      <c r="A38" s="2" t="s">
        <v>36</v>
      </c>
      <c r="B38">
        <v>3187</v>
      </c>
    </row>
    <row r="39" spans="1:2">
      <c r="A39" s="2" t="s">
        <v>37</v>
      </c>
      <c r="B39">
        <v>7373</v>
      </c>
    </row>
    <row r="40" spans="1:2">
      <c r="A40" s="2" t="s">
        <v>38</v>
      </c>
      <c r="B40">
        <v>4596</v>
      </c>
    </row>
    <row r="41" spans="1:2">
      <c r="A41" s="2" t="s">
        <v>39</v>
      </c>
      <c r="B41">
        <v>3677</v>
      </c>
    </row>
    <row r="42" spans="1:2">
      <c r="A42" s="2" t="s">
        <v>40</v>
      </c>
      <c r="B42">
        <v>47</v>
      </c>
    </row>
    <row r="43" spans="1:2">
      <c r="A43" s="2" t="s">
        <v>41</v>
      </c>
      <c r="B43">
        <v>-1279</v>
      </c>
    </row>
    <row r="44" spans="1:2">
      <c r="A44" s="2" t="s">
        <v>42</v>
      </c>
      <c r="B44">
        <v>17937</v>
      </c>
    </row>
    <row r="45" spans="1:2">
      <c r="A45" s="2" t="s">
        <v>43</v>
      </c>
      <c r="B45">
        <v>-1981</v>
      </c>
    </row>
    <row r="46" spans="1:2">
      <c r="A46" s="2" t="s">
        <v>44</v>
      </c>
      <c r="B46">
        <v>9190.0018999999993</v>
      </c>
    </row>
    <row r="47" spans="1:2">
      <c r="A47" s="2" t="s">
        <v>45</v>
      </c>
      <c r="B47">
        <v>6188</v>
      </c>
    </row>
    <row r="48" spans="1:2">
      <c r="A48" s="2" t="s">
        <v>46</v>
      </c>
      <c r="B48">
        <v>5346</v>
      </c>
    </row>
    <row r="49" spans="1:2">
      <c r="A49" s="2" t="s">
        <v>47</v>
      </c>
      <c r="B49">
        <v>3949</v>
      </c>
    </row>
    <row r="50" spans="1:2">
      <c r="A50" s="2" t="s">
        <v>48</v>
      </c>
      <c r="B50">
        <v>9687</v>
      </c>
    </row>
    <row r="51" spans="1:2">
      <c r="A51" s="2" t="s">
        <v>49</v>
      </c>
      <c r="B51">
        <v>9427</v>
      </c>
    </row>
    <row r="52" spans="1:2">
      <c r="A52" s="2" t="s">
        <v>50</v>
      </c>
      <c r="B52">
        <v>8014</v>
      </c>
    </row>
    <row r="53" spans="1:2">
      <c r="A53" s="2" t="s">
        <v>51</v>
      </c>
      <c r="B53">
        <v>6732</v>
      </c>
    </row>
    <row r="54" spans="1:2">
      <c r="A54" s="2" t="s">
        <v>52</v>
      </c>
      <c r="B54">
        <v>6427</v>
      </c>
    </row>
    <row r="55" spans="1:2">
      <c r="A55" s="2" t="s">
        <v>53</v>
      </c>
      <c r="B55">
        <v>10019</v>
      </c>
    </row>
    <row r="56" spans="1:2">
      <c r="A56" s="2" t="s">
        <v>54</v>
      </c>
      <c r="B56">
        <v>9934</v>
      </c>
    </row>
    <row r="57" spans="1:2">
      <c r="A57" s="2" t="s">
        <v>55</v>
      </c>
      <c r="B57">
        <v>4397.1018999999997</v>
      </c>
    </row>
    <row r="58" spans="1:2">
      <c r="A58" s="2" t="s">
        <v>56</v>
      </c>
      <c r="B58">
        <v>2111.3000000000002</v>
      </c>
    </row>
    <row r="59" spans="1:2">
      <c r="A59" s="2" t="s">
        <v>57</v>
      </c>
      <c r="B59">
        <v>2645</v>
      </c>
    </row>
    <row r="60" spans="1:2">
      <c r="A60" s="2" t="s">
        <v>58</v>
      </c>
      <c r="B60">
        <v>2194.6999999999998</v>
      </c>
    </row>
    <row r="61" spans="1:2">
      <c r="A61" s="2" t="s">
        <v>59</v>
      </c>
      <c r="B61">
        <v>1434</v>
      </c>
    </row>
    <row r="62" spans="1:2">
      <c r="A62" s="2" t="s">
        <v>60</v>
      </c>
      <c r="B62">
        <v>2134.3000000000002</v>
      </c>
    </row>
    <row r="63" spans="1:2">
      <c r="A63" s="2" t="s">
        <v>61</v>
      </c>
      <c r="B63">
        <v>2007.2</v>
      </c>
    </row>
    <row r="64" spans="1:2">
      <c r="A64" s="2" t="s">
        <v>62</v>
      </c>
      <c r="B64">
        <v>805.7</v>
      </c>
    </row>
    <row r="65" spans="1:2">
      <c r="A65" s="2" t="s">
        <v>63</v>
      </c>
      <c r="B65">
        <v>4731.8</v>
      </c>
    </row>
    <row r="66" spans="1:2">
      <c r="A66" s="2" t="s">
        <v>64</v>
      </c>
      <c r="B66">
        <v>5194</v>
      </c>
    </row>
    <row r="67" spans="1:2">
      <c r="A67" s="2" t="s">
        <v>65</v>
      </c>
      <c r="B67">
        <v>4795.6000000000004</v>
      </c>
    </row>
    <row r="68" spans="1:2">
      <c r="A68" s="2" t="s">
        <v>66</v>
      </c>
      <c r="B68">
        <v>2067.0019000000002</v>
      </c>
    </row>
    <row r="69" spans="1:2">
      <c r="A69" s="2" t="s">
        <v>67</v>
      </c>
      <c r="B69">
        <v>2926</v>
      </c>
    </row>
    <row r="70" spans="1:2">
      <c r="A70" s="2" t="s">
        <v>68</v>
      </c>
      <c r="B70">
        <v>3924</v>
      </c>
    </row>
    <row r="71" spans="1:2">
      <c r="A71" s="2" t="s">
        <v>69</v>
      </c>
      <c r="B71">
        <v>4239</v>
      </c>
    </row>
    <row r="72" spans="1:2">
      <c r="A72" s="2" t="s">
        <v>70</v>
      </c>
      <c r="B72">
        <v>4768</v>
      </c>
    </row>
    <row r="73" spans="1:2">
      <c r="A73" s="2" t="s">
        <v>71</v>
      </c>
      <c r="B73">
        <v>4809</v>
      </c>
    </row>
    <row r="74" spans="1:2">
      <c r="A74" s="2" t="s">
        <v>72</v>
      </c>
      <c r="B74">
        <v>6765</v>
      </c>
    </row>
    <row r="75" spans="1:2">
      <c r="A75" s="2" t="s">
        <v>73</v>
      </c>
      <c r="B75">
        <v>6143</v>
      </c>
    </row>
    <row r="76" spans="1:2">
      <c r="A76" s="2" t="s">
        <v>74</v>
      </c>
      <c r="B76">
        <v>4779</v>
      </c>
    </row>
    <row r="77" spans="1:2">
      <c r="A77" s="2" t="s">
        <v>75</v>
      </c>
      <c r="B77">
        <v>5542</v>
      </c>
    </row>
    <row r="78" spans="1:2">
      <c r="A78" s="2" t="s">
        <v>76</v>
      </c>
      <c r="B78">
        <v>4966</v>
      </c>
    </row>
    <row r="79" spans="1:2">
      <c r="A79" s="2" t="s">
        <v>77</v>
      </c>
      <c r="B79">
        <v>3083.2019</v>
      </c>
    </row>
    <row r="80" spans="1:2">
      <c r="A80" s="2" t="s">
        <v>78</v>
      </c>
      <c r="B80">
        <v>3431.4</v>
      </c>
    </row>
    <row r="81" spans="1:2">
      <c r="A81" s="2" t="s">
        <v>79</v>
      </c>
      <c r="B81">
        <v>3487.3</v>
      </c>
    </row>
    <row r="82" spans="1:2">
      <c r="A82" s="2" t="s">
        <v>80</v>
      </c>
      <c r="B82">
        <v>2843.2</v>
      </c>
    </row>
    <row r="83" spans="1:2">
      <c r="A83" s="2" t="s">
        <v>81</v>
      </c>
      <c r="B83">
        <v>2326.3000000000002</v>
      </c>
    </row>
    <row r="84" spans="1:2">
      <c r="A84" s="2" t="s">
        <v>82</v>
      </c>
      <c r="B84">
        <v>2373.8000000000002</v>
      </c>
    </row>
    <row r="85" spans="1:2">
      <c r="A85" s="2" t="s">
        <v>83</v>
      </c>
      <c r="B85">
        <v>1050.7</v>
      </c>
    </row>
    <row r="86" spans="1:2">
      <c r="A86" s="2" t="s">
        <v>84</v>
      </c>
      <c r="B86">
        <v>1567.4</v>
      </c>
    </row>
    <row r="87" spans="1:2">
      <c r="A87" s="2" t="s">
        <v>85</v>
      </c>
      <c r="B87">
        <v>1261</v>
      </c>
    </row>
    <row r="88" spans="1:2">
      <c r="A88" s="2" t="s">
        <v>86</v>
      </c>
      <c r="B88">
        <v>4160</v>
      </c>
    </row>
    <row r="89" spans="1:2">
      <c r="A89" s="2" t="s">
        <v>87</v>
      </c>
      <c r="B89">
        <v>4190.5</v>
      </c>
    </row>
    <row r="90" spans="1:2">
      <c r="A90" s="2" t="s">
        <v>88</v>
      </c>
      <c r="B90">
        <v>-423.90010000000001</v>
      </c>
    </row>
    <row r="91" spans="1:2">
      <c r="A91" s="2" t="s">
        <v>89</v>
      </c>
      <c r="B91">
        <v>59.3</v>
      </c>
    </row>
    <row r="92" spans="1:2">
      <c r="A92" s="2" t="s">
        <v>90</v>
      </c>
      <c r="B92">
        <v>161.5</v>
      </c>
    </row>
    <row r="93" spans="1:2">
      <c r="A93" s="2" t="s">
        <v>91</v>
      </c>
      <c r="B93">
        <v>379.3</v>
      </c>
    </row>
    <row r="94" spans="1:2">
      <c r="A94" s="2" t="s">
        <v>92</v>
      </c>
      <c r="B94">
        <v>110</v>
      </c>
    </row>
    <row r="95" spans="1:2">
      <c r="A95" s="2" t="s">
        <v>93</v>
      </c>
      <c r="B95">
        <v>66.2</v>
      </c>
    </row>
    <row r="96" spans="1:2">
      <c r="A96" s="2" t="s">
        <v>94</v>
      </c>
      <c r="B96">
        <v>1127.2</v>
      </c>
    </row>
    <row r="97" spans="1:2">
      <c r="A97" s="2" t="s">
        <v>95</v>
      </c>
      <c r="B97">
        <v>26.8</v>
      </c>
    </row>
    <row r="98" spans="1:2">
      <c r="A98" s="2" t="s">
        <v>96</v>
      </c>
      <c r="B98">
        <v>1668.5</v>
      </c>
    </row>
    <row r="99" spans="1:2">
      <c r="A99" s="2" t="s">
        <v>97</v>
      </c>
      <c r="B99">
        <v>901.6</v>
      </c>
    </row>
    <row r="100" spans="1:2">
      <c r="A100" s="2" t="s">
        <v>98</v>
      </c>
      <c r="B100">
        <v>926.8</v>
      </c>
    </row>
    <row r="101" spans="1:2">
      <c r="A101" s="2" t="s">
        <v>99</v>
      </c>
      <c r="B101">
        <v>4324.3019000000004</v>
      </c>
    </row>
    <row r="102" spans="1:2">
      <c r="A102" s="2" t="s">
        <v>100</v>
      </c>
      <c r="B102">
        <v>4123.8</v>
      </c>
    </row>
    <row r="103" spans="1:2">
      <c r="A103" s="2" t="s">
        <v>101</v>
      </c>
      <c r="B103">
        <v>3883.3</v>
      </c>
    </row>
    <row r="104" spans="1:2">
      <c r="A104" s="2" t="s">
        <v>102</v>
      </c>
      <c r="B104">
        <v>4161.7</v>
      </c>
    </row>
    <row r="105" spans="1:2">
      <c r="A105" s="2" t="s">
        <v>103</v>
      </c>
      <c r="B105">
        <v>4363.5</v>
      </c>
    </row>
    <row r="106" spans="1:2">
      <c r="A106" s="2" t="s">
        <v>104</v>
      </c>
      <c r="B106">
        <v>6123.4</v>
      </c>
    </row>
    <row r="107" spans="1:2">
      <c r="A107" s="2" t="s">
        <v>105</v>
      </c>
      <c r="B107">
        <v>2878.4</v>
      </c>
    </row>
    <row r="108" spans="1:2">
      <c r="A108" s="2" t="s">
        <v>106</v>
      </c>
      <c r="B108">
        <v>-6173.7</v>
      </c>
    </row>
    <row r="109" spans="1:2">
      <c r="A109" s="2" t="s">
        <v>107</v>
      </c>
      <c r="B109">
        <v>-4232.7</v>
      </c>
    </row>
    <row r="110" spans="1:2">
      <c r="A110" s="2" t="s">
        <v>108</v>
      </c>
      <c r="B110">
        <v>1918.7</v>
      </c>
    </row>
    <row r="111" spans="1:2">
      <c r="A111" s="2" t="s">
        <v>109</v>
      </c>
      <c r="B111">
        <v>1639.4</v>
      </c>
    </row>
    <row r="112" spans="1:2">
      <c r="A112" s="2" t="s">
        <v>110</v>
      </c>
      <c r="B112">
        <v>-9779.6000999999997</v>
      </c>
    </row>
    <row r="113" spans="1:2">
      <c r="A113" s="2" t="s">
        <v>111</v>
      </c>
      <c r="B113">
        <v>-9082.7999999999993</v>
      </c>
    </row>
    <row r="114" spans="1:2">
      <c r="A114" s="2" t="s">
        <v>112</v>
      </c>
      <c r="B114">
        <v>1202.2</v>
      </c>
    </row>
    <row r="115" spans="1:2">
      <c r="A115" s="2" t="s">
        <v>113</v>
      </c>
      <c r="B115">
        <v>1632.4</v>
      </c>
    </row>
    <row r="116" spans="1:2">
      <c r="A116" s="2" t="s">
        <v>114</v>
      </c>
      <c r="B116">
        <v>1609.8</v>
      </c>
    </row>
    <row r="117" spans="1:2">
      <c r="A117" s="2" t="s">
        <v>115</v>
      </c>
      <c r="B117">
        <v>1378.4</v>
      </c>
    </row>
    <row r="118" spans="1:2">
      <c r="A118" s="2" t="s">
        <v>116</v>
      </c>
      <c r="B118">
        <v>2562.8000000000002</v>
      </c>
    </row>
    <row r="119" spans="1:2">
      <c r="A119" s="2" t="s">
        <v>117</v>
      </c>
      <c r="B119">
        <v>2076</v>
      </c>
    </row>
    <row r="120" spans="1:2">
      <c r="A120" s="2" t="s">
        <v>118</v>
      </c>
      <c r="B120">
        <v>1557.2</v>
      </c>
    </row>
    <row r="121" spans="1:2">
      <c r="A121" s="2" t="s">
        <v>119</v>
      </c>
      <c r="B121">
        <v>2273</v>
      </c>
    </row>
    <row r="122" spans="1:2">
      <c r="A122" s="2" t="s">
        <v>120</v>
      </c>
      <c r="B122">
        <v>1961.5</v>
      </c>
    </row>
    <row r="123" spans="1:2">
      <c r="A123" s="2" t="s">
        <v>121</v>
      </c>
      <c r="B123">
        <v>12059.1019</v>
      </c>
    </row>
    <row r="124" spans="1:2">
      <c r="A124" s="2" t="s">
        <v>122</v>
      </c>
      <c r="B124">
        <v>20585.7</v>
      </c>
    </row>
    <row r="125" spans="1:2">
      <c r="A125" s="2" t="s">
        <v>123</v>
      </c>
      <c r="B125">
        <v>27245.3</v>
      </c>
    </row>
    <row r="126" spans="1:2">
      <c r="A126" s="2" t="s">
        <v>124</v>
      </c>
      <c r="B126">
        <v>21922.7</v>
      </c>
    </row>
    <row r="127" spans="1:2">
      <c r="A127" s="2" t="s">
        <v>125</v>
      </c>
      <c r="B127">
        <v>16531.900000000001</v>
      </c>
    </row>
    <row r="128" spans="1:2">
      <c r="A128" s="2" t="s">
        <v>126</v>
      </c>
      <c r="B128">
        <v>19316.5</v>
      </c>
    </row>
    <row r="129" spans="1:2">
      <c r="A129" s="2" t="s">
        <v>127</v>
      </c>
      <c r="B129">
        <v>39895.199999999997</v>
      </c>
    </row>
    <row r="130" spans="1:2">
      <c r="A130" s="2" t="s">
        <v>128</v>
      </c>
      <c r="B130">
        <v>18453.3</v>
      </c>
    </row>
    <row r="131" spans="1:2">
      <c r="A131" s="2" t="s">
        <v>129</v>
      </c>
      <c r="B131">
        <v>22116.400000000001</v>
      </c>
    </row>
    <row r="132" spans="1:2">
      <c r="A132" s="2" t="s">
        <v>130</v>
      </c>
      <c r="B132">
        <v>34293.5</v>
      </c>
    </row>
    <row r="133" spans="1:2">
      <c r="A133" s="2" t="s">
        <v>131</v>
      </c>
      <c r="B133">
        <v>42397.7</v>
      </c>
    </row>
    <row r="134" spans="1:2">
      <c r="A134" s="2" t="s">
        <v>132</v>
      </c>
      <c r="B134">
        <v>-5783.6000999999997</v>
      </c>
    </row>
    <row r="135" spans="1:2">
      <c r="A135" s="2" t="s">
        <v>133</v>
      </c>
      <c r="B135">
        <v>518.20000000000005</v>
      </c>
    </row>
    <row r="136" spans="1:2">
      <c r="A136" s="2" t="s">
        <v>134</v>
      </c>
      <c r="B136">
        <v>-1281.4000000000001</v>
      </c>
    </row>
    <row r="137" spans="1:2">
      <c r="A137" s="2" t="s">
        <v>135</v>
      </c>
      <c r="B137">
        <v>-1145.8</v>
      </c>
    </row>
    <row r="138" spans="1:2">
      <c r="A138" s="2" t="s">
        <v>136</v>
      </c>
      <c r="B138">
        <v>1231.0999999999999</v>
      </c>
    </row>
    <row r="139" spans="1:2">
      <c r="A139" s="2" t="s">
        <v>137</v>
      </c>
      <c r="B139">
        <v>676.4</v>
      </c>
    </row>
    <row r="140" spans="1:2">
      <c r="A140" s="2" t="s">
        <v>138</v>
      </c>
      <c r="B140">
        <v>8264</v>
      </c>
    </row>
    <row r="141" spans="1:2">
      <c r="A141" s="2" t="s">
        <v>139</v>
      </c>
      <c r="B141">
        <v>5354.8</v>
      </c>
    </row>
    <row r="142" spans="1:2">
      <c r="A142" s="2" t="s">
        <v>140</v>
      </c>
      <c r="B142">
        <v>11053.6</v>
      </c>
    </row>
    <row r="143" spans="1:2">
      <c r="A143" s="2" t="s">
        <v>141</v>
      </c>
      <c r="B143">
        <v>7853.1</v>
      </c>
    </row>
    <row r="144" spans="1:2">
      <c r="A144" s="2" t="s">
        <v>142</v>
      </c>
      <c r="B144">
        <v>6923.4</v>
      </c>
    </row>
    <row r="145" spans="1:2">
      <c r="A145" s="2" t="s">
        <v>143</v>
      </c>
      <c r="B145" s="5">
        <f>(46312282000*0.03/6.463)/1000000</f>
        <v>214.9726845118366</v>
      </c>
    </row>
    <row r="146" spans="1:2">
      <c r="A146" s="2" t="s">
        <v>144</v>
      </c>
      <c r="B146" s="5">
        <f>(44380858000*0.002/6.3093)/1000000</f>
        <v>14.06839364113293</v>
      </c>
    </row>
    <row r="147" spans="1:2">
      <c r="A147" s="2" t="s">
        <v>145</v>
      </c>
      <c r="B147" s="5">
        <f>(49767887000*0.01/6.1478)/1000000</f>
        <v>80.952352060899841</v>
      </c>
    </row>
    <row r="148" spans="1:2">
      <c r="A148" s="2" t="s">
        <v>146</v>
      </c>
      <c r="B148" s="5">
        <f>(55366384000*0.08/6.162)/1000000</f>
        <v>718.8105679974035</v>
      </c>
    </row>
    <row r="149" spans="1:2">
      <c r="A149" s="2" t="s">
        <v>147</v>
      </c>
      <c r="B149" s="5">
        <f>(77611985000*0.036/6.2827)/1000000</f>
        <v>444.71826762379231</v>
      </c>
    </row>
    <row r="150" spans="1:2">
      <c r="A150" s="2" t="s">
        <v>148</v>
      </c>
      <c r="B150" s="5">
        <f>(100207703000*0.05/6.64)/1000000</f>
        <v>754.5760768072289</v>
      </c>
    </row>
    <row r="151" spans="1:2">
      <c r="A151" s="2" t="s">
        <v>149</v>
      </c>
      <c r="B151" s="5">
        <f>(121790925000*0.023/6.609)/1000000</f>
        <v>423.84495006808896</v>
      </c>
    </row>
    <row r="152" spans="1:2">
      <c r="A152" s="2" t="s">
        <v>150</v>
      </c>
      <c r="B152" s="5">
        <f>(121778117000*0.013/6.9081)/1000000</f>
        <v>229.1680087144077</v>
      </c>
    </row>
    <row r="153" spans="1:2">
      <c r="A153" s="2" t="s">
        <v>151</v>
      </c>
      <c r="B153" s="5">
        <f>(153469184000*0.028/6.9042)/1000000</f>
        <v>622.39465137162892</v>
      </c>
    </row>
    <row r="154" spans="1:2">
      <c r="A154" s="2" t="s">
        <v>152</v>
      </c>
      <c r="B154">
        <v>472.1</v>
      </c>
    </row>
    <row r="155" spans="1:2">
      <c r="A155" s="2" t="s">
        <v>153</v>
      </c>
      <c r="B155">
        <v>2471.1</v>
      </c>
    </row>
    <row r="156" spans="1:2">
      <c r="A156" s="2" t="s">
        <v>154</v>
      </c>
      <c r="B156" s="4">
        <f>-254411 *1000/1000000</f>
        <v>-254.411</v>
      </c>
    </row>
    <row r="157" spans="1:2">
      <c r="A157" s="2" t="s">
        <v>155</v>
      </c>
      <c r="B157" s="4">
        <f>-396213 *1000/1000000</f>
        <v>-396.21300000000002</v>
      </c>
    </row>
    <row r="158" spans="1:2">
      <c r="A158" s="2" t="s">
        <v>156</v>
      </c>
      <c r="B158" s="4">
        <f>-74014 *1000/1000000</f>
        <v>-74.013999999999996</v>
      </c>
    </row>
    <row r="159" spans="1:2">
      <c r="A159" s="2" t="s">
        <v>157</v>
      </c>
      <c r="B159" s="4">
        <f>-294040 *1000/1000000</f>
        <v>-294.04000000000002</v>
      </c>
    </row>
    <row r="160" spans="1:2">
      <c r="A160" s="2" t="s">
        <v>158</v>
      </c>
      <c r="B160" s="4">
        <f>-888663*1000/1000000</f>
        <v>-888.66300000000001</v>
      </c>
    </row>
    <row r="161" spans="1:4">
      <c r="A161" s="2" t="s">
        <v>159</v>
      </c>
      <c r="B161" s="4">
        <f>-674914*1000/1000000</f>
        <v>-674.91399999999999</v>
      </c>
      <c r="D161" s="12"/>
    </row>
    <row r="162" spans="1:4">
      <c r="A162" s="2" t="s">
        <v>160</v>
      </c>
      <c r="B162" s="4">
        <f>-976091 *1000/1000000</f>
        <v>-976.09100000000001</v>
      </c>
    </row>
    <row r="163" spans="1:4">
      <c r="A163" s="2" t="s">
        <v>161</v>
      </c>
      <c r="B163" s="4">
        <f>-862</f>
        <v>-862</v>
      </c>
    </row>
    <row r="164" spans="1:4">
      <c r="A164" s="2" t="s">
        <v>162</v>
      </c>
      <c r="B164">
        <v>721</v>
      </c>
    </row>
    <row r="165" spans="1:4">
      <c r="A165" s="2" t="s">
        <v>163</v>
      </c>
      <c r="B165">
        <v>5519</v>
      </c>
    </row>
    <row r="166" spans="1:4">
      <c r="A166" s="2" t="s">
        <v>164</v>
      </c>
      <c r="B166">
        <v>12556</v>
      </c>
    </row>
    <row r="167" spans="1:4">
      <c r="A167" s="2" t="s">
        <v>165</v>
      </c>
      <c r="B167">
        <v>21425.501899999999</v>
      </c>
    </row>
    <row r="168" spans="1:4">
      <c r="A168" s="2" t="s">
        <v>166</v>
      </c>
      <c r="B168">
        <v>27909.1</v>
      </c>
    </row>
    <row r="169" spans="1:4">
      <c r="A169" s="2" t="s">
        <v>167</v>
      </c>
      <c r="B169">
        <v>12071.5</v>
      </c>
    </row>
    <row r="170" spans="1:4">
      <c r="A170" s="2" t="s">
        <v>168</v>
      </c>
      <c r="B170">
        <v>14571.9</v>
      </c>
    </row>
    <row r="171" spans="1:4">
      <c r="A171" s="2" t="s">
        <v>169</v>
      </c>
      <c r="B171">
        <v>-1519.7</v>
      </c>
    </row>
    <row r="172" spans="1:4">
      <c r="A172" s="2" t="s">
        <v>170</v>
      </c>
      <c r="B172">
        <v>5937.3</v>
      </c>
    </row>
    <row r="173" spans="1:4">
      <c r="A173" s="2" t="s">
        <v>171</v>
      </c>
      <c r="B173">
        <v>14322.5</v>
      </c>
    </row>
    <row r="174" spans="1:4">
      <c r="A174" s="2" t="s">
        <v>172</v>
      </c>
      <c r="B174">
        <v>15542</v>
      </c>
    </row>
    <row r="175" spans="1:4">
      <c r="A175" s="2" t="s">
        <v>173</v>
      </c>
      <c r="B175">
        <v>10103.5</v>
      </c>
    </row>
    <row r="176" spans="1:4">
      <c r="A176" s="2" t="s">
        <v>174</v>
      </c>
      <c r="B176">
        <v>18186.599999999999</v>
      </c>
    </row>
    <row r="177" spans="1:2">
      <c r="A177" s="2" t="s">
        <v>175</v>
      </c>
      <c r="B177">
        <v>15223.2</v>
      </c>
    </row>
    <row r="178" spans="1:2">
      <c r="A178" s="2" t="s">
        <v>176</v>
      </c>
      <c r="B178">
        <v>2734.6019000000001</v>
      </c>
    </row>
    <row r="179" spans="1:2">
      <c r="A179" s="2" t="s">
        <v>177</v>
      </c>
      <c r="B179">
        <v>1630.5</v>
      </c>
    </row>
    <row r="180" spans="1:2">
      <c r="A180" s="2" t="s">
        <v>178</v>
      </c>
      <c r="B180">
        <v>550.20000000000005</v>
      </c>
    </row>
    <row r="181" spans="1:2">
      <c r="A181" s="2" t="s">
        <v>179</v>
      </c>
      <c r="B181">
        <v>305.89999999999998</v>
      </c>
    </row>
    <row r="182" spans="1:2">
      <c r="A182" s="2" t="s">
        <v>180</v>
      </c>
      <c r="B182">
        <v>1785.7</v>
      </c>
    </row>
    <row r="183" spans="1:2">
      <c r="A183" s="2" t="s">
        <v>181</v>
      </c>
      <c r="B183">
        <v>1535.8</v>
      </c>
    </row>
    <row r="184" spans="1:2">
      <c r="A184" s="2" t="s">
        <v>182</v>
      </c>
      <c r="B184">
        <v>2863.9</v>
      </c>
    </row>
    <row r="185" spans="1:2">
      <c r="A185" s="2" t="s">
        <v>183</v>
      </c>
      <c r="B185">
        <v>3793</v>
      </c>
    </row>
    <row r="186" spans="1:2">
      <c r="A186" s="2" t="s">
        <v>184</v>
      </c>
      <c r="B186">
        <v>2097.9</v>
      </c>
    </row>
    <row r="187" spans="1:2">
      <c r="A187" s="2" t="s">
        <v>185</v>
      </c>
      <c r="B187">
        <v>3821.9</v>
      </c>
    </row>
    <row r="188" spans="1:2">
      <c r="A188" s="2" t="s">
        <v>186</v>
      </c>
      <c r="B188">
        <v>3236.3</v>
      </c>
    </row>
    <row r="189" spans="1:2">
      <c r="A189" s="2" t="s">
        <v>187</v>
      </c>
      <c r="B189">
        <v>90.001900000000006</v>
      </c>
    </row>
    <row r="190" spans="1:2">
      <c r="A190" s="2" t="s">
        <v>188</v>
      </c>
      <c r="B190">
        <v>52.4</v>
      </c>
    </row>
    <row r="191" spans="1:2">
      <c r="A191" s="2" t="s">
        <v>189</v>
      </c>
      <c r="B191">
        <v>118.1</v>
      </c>
    </row>
    <row r="192" spans="1:2">
      <c r="A192" s="2" t="s">
        <v>190</v>
      </c>
      <c r="B192">
        <v>275.5</v>
      </c>
    </row>
    <row r="193" spans="1:2">
      <c r="A193" s="2" t="s">
        <v>191</v>
      </c>
      <c r="B193">
        <v>286.60000000000002</v>
      </c>
    </row>
    <row r="194" spans="1:2">
      <c r="A194" s="2" t="s">
        <v>192</v>
      </c>
      <c r="B194">
        <v>1265.7</v>
      </c>
    </row>
    <row r="195" spans="1:2">
      <c r="A195" s="2" t="s">
        <v>193</v>
      </c>
      <c r="B195">
        <v>1969.3</v>
      </c>
    </row>
    <row r="196" spans="1:2">
      <c r="A196" s="2" t="s">
        <v>194</v>
      </c>
      <c r="B196">
        <v>1231.9000000000001</v>
      </c>
    </row>
    <row r="197" spans="1:2">
      <c r="A197" s="2" t="s">
        <v>195</v>
      </c>
      <c r="B197">
        <v>1352.3</v>
      </c>
    </row>
    <row r="198" spans="1:2">
      <c r="A198" s="2" t="s">
        <v>196</v>
      </c>
      <c r="B198">
        <v>1471</v>
      </c>
    </row>
    <row r="199" spans="1:2">
      <c r="A199" s="2" t="s">
        <v>197</v>
      </c>
      <c r="B199">
        <v>945</v>
      </c>
    </row>
    <row r="200" spans="1:2">
      <c r="A200" s="2" t="s">
        <v>198</v>
      </c>
      <c r="B200">
        <v>2777.0019000000002</v>
      </c>
    </row>
    <row r="201" spans="1:2">
      <c r="A201" s="2" t="s">
        <v>199</v>
      </c>
      <c r="B201">
        <v>3204.8</v>
      </c>
    </row>
    <row r="202" spans="1:2">
      <c r="A202" s="2" t="s">
        <v>200</v>
      </c>
      <c r="B202">
        <v>3594.8</v>
      </c>
    </row>
    <row r="203" spans="1:2">
      <c r="A203" s="2" t="s">
        <v>201</v>
      </c>
      <c r="B203">
        <v>4307.8</v>
      </c>
    </row>
    <row r="204" spans="1:2">
      <c r="A204" s="2" t="s">
        <v>202</v>
      </c>
      <c r="B204">
        <v>4627.1000000000004</v>
      </c>
    </row>
    <row r="205" spans="1:2">
      <c r="A205" s="2" t="s">
        <v>203</v>
      </c>
      <c r="B205">
        <v>4608.8</v>
      </c>
    </row>
    <row r="206" spans="1:2">
      <c r="A206" s="2" t="s">
        <v>204</v>
      </c>
      <c r="B206">
        <v>4281.6000000000004</v>
      </c>
    </row>
    <row r="207" spans="1:2">
      <c r="A207" s="2" t="s">
        <v>205</v>
      </c>
      <c r="B207">
        <v>3730.9</v>
      </c>
    </row>
    <row r="208" spans="1:2">
      <c r="A208" s="2" t="s">
        <v>206</v>
      </c>
      <c r="B208">
        <v>3456.7</v>
      </c>
    </row>
    <row r="209" spans="1:2">
      <c r="A209" s="2" t="s">
        <v>207</v>
      </c>
      <c r="B209">
        <v>4988.3</v>
      </c>
    </row>
    <row r="210" spans="1:2">
      <c r="A210" s="2" t="s">
        <v>208</v>
      </c>
      <c r="B210">
        <v>4751</v>
      </c>
    </row>
    <row r="211" spans="1:2">
      <c r="A211" s="2" t="s">
        <v>209</v>
      </c>
      <c r="B211">
        <v>3591.3018999999999</v>
      </c>
    </row>
    <row r="212" spans="1:2">
      <c r="A212" s="2" t="s">
        <v>210</v>
      </c>
      <c r="B212">
        <v>11586.6</v>
      </c>
    </row>
    <row r="213" spans="1:2">
      <c r="A213" s="2" t="s">
        <v>211</v>
      </c>
      <c r="B213">
        <v>18198.2</v>
      </c>
    </row>
    <row r="214" spans="1:2">
      <c r="A214" s="2" t="s">
        <v>212</v>
      </c>
      <c r="B214">
        <v>19766.900000000001</v>
      </c>
    </row>
    <row r="215" spans="1:2">
      <c r="A215" s="2" t="s">
        <v>213</v>
      </c>
      <c r="B215">
        <v>19264.2</v>
      </c>
    </row>
    <row r="216" spans="1:2">
      <c r="A216" s="2" t="s">
        <v>214</v>
      </c>
      <c r="B216">
        <v>16899.3</v>
      </c>
    </row>
    <row r="217" spans="1:2">
      <c r="A217" s="2" t="s">
        <v>215</v>
      </c>
      <c r="B217">
        <v>16982</v>
      </c>
    </row>
    <row r="218" spans="1:2">
      <c r="A218" s="2" t="s">
        <v>216</v>
      </c>
      <c r="B218">
        <v>19096.2</v>
      </c>
    </row>
    <row r="219" spans="1:2">
      <c r="A219" s="2" t="s">
        <v>217</v>
      </c>
      <c r="B219">
        <v>21180.1</v>
      </c>
    </row>
    <row r="220" spans="1:2">
      <c r="A220" s="2" t="s">
        <v>218</v>
      </c>
      <c r="B220">
        <v>25371.4</v>
      </c>
    </row>
    <row r="221" spans="1:2">
      <c r="A221" s="2" t="s">
        <v>219</v>
      </c>
      <c r="B221">
        <v>18110</v>
      </c>
    </row>
    <row r="222" spans="1:2">
      <c r="A222" s="2" t="s">
        <v>220</v>
      </c>
      <c r="B222">
        <v>1018.0019</v>
      </c>
    </row>
    <row r="223" spans="1:2">
      <c r="A223" s="2" t="s">
        <v>221</v>
      </c>
      <c r="B223">
        <v>1433</v>
      </c>
    </row>
    <row r="224" spans="1:2">
      <c r="A224" s="2" t="s">
        <v>222</v>
      </c>
      <c r="B224">
        <v>1561</v>
      </c>
    </row>
    <row r="225" spans="1:2">
      <c r="A225" s="2" t="s">
        <v>223</v>
      </c>
      <c r="B225">
        <v>1882</v>
      </c>
    </row>
    <row r="226" spans="1:2">
      <c r="A226" s="2" t="s">
        <v>224</v>
      </c>
      <c r="B226">
        <v>2013</v>
      </c>
    </row>
    <row r="227" spans="1:2">
      <c r="A227" s="2" t="s">
        <v>225</v>
      </c>
      <c r="B227">
        <v>2031</v>
      </c>
    </row>
    <row r="228" spans="1:2">
      <c r="A228" s="2" t="s">
        <v>226</v>
      </c>
      <c r="B228">
        <v>2296</v>
      </c>
    </row>
    <row r="229" spans="1:2">
      <c r="A229" s="2" t="s">
        <v>227</v>
      </c>
      <c r="B229">
        <v>1765</v>
      </c>
    </row>
    <row r="230" spans="1:2">
      <c r="A230" s="2" t="s">
        <v>228</v>
      </c>
      <c r="B230">
        <v>757</v>
      </c>
    </row>
    <row r="231" spans="1:2">
      <c r="A231" s="2" t="s">
        <v>229</v>
      </c>
      <c r="B231">
        <v>1514</v>
      </c>
    </row>
    <row r="232" spans="1:2">
      <c r="A232" s="2" t="s">
        <v>230</v>
      </c>
      <c r="B232">
        <v>592</v>
      </c>
    </row>
    <row r="233" spans="1:2">
      <c r="A233" s="2" t="s">
        <v>231</v>
      </c>
      <c r="B233" s="4">
        <f>(394*1000000*0.893435632183908)/1000000</f>
        <v>352.01363908045977</v>
      </c>
    </row>
    <row r="234" spans="1:2">
      <c r="A234" s="2" t="s">
        <v>232</v>
      </c>
      <c r="B234" s="4">
        <f>(-1070*1000000*0.877024904214559)/1000000</f>
        <v>-938.41664750957807</v>
      </c>
    </row>
    <row r="235" spans="1:2">
      <c r="A235" s="2" t="s">
        <v>233</v>
      </c>
      <c r="B235" s="4">
        <f>(245*1000000*0.845999233716476)/1000000</f>
        <v>207.26981226053661</v>
      </c>
    </row>
    <row r="236" spans="1:2">
      <c r="A236" s="2" t="s">
        <v>234</v>
      </c>
      <c r="B236" s="4">
        <f>(295*1000000*0.951457307692308)/1000000</f>
        <v>280.67990576923086</v>
      </c>
    </row>
    <row r="237" spans="1:2">
      <c r="A237" s="2" t="s">
        <v>235</v>
      </c>
      <c r="B237" s="7">
        <v>1301</v>
      </c>
    </row>
    <row r="238" spans="1:2">
      <c r="A238" s="2" t="s">
        <v>236</v>
      </c>
      <c r="B238" s="7">
        <v>1440</v>
      </c>
    </row>
    <row r="239" spans="1:2">
      <c r="A239" s="2" t="s">
        <v>237</v>
      </c>
      <c r="B239" s="7">
        <v>1535</v>
      </c>
    </row>
    <row r="240" spans="1:2">
      <c r="A240" s="2" t="s">
        <v>238</v>
      </c>
      <c r="B240" s="7">
        <v>1257</v>
      </c>
    </row>
    <row r="241" spans="1:5">
      <c r="A241" s="2" t="s">
        <v>278</v>
      </c>
      <c r="B241" s="8">
        <v>1107</v>
      </c>
    </row>
    <row r="242" spans="1:5">
      <c r="A242" s="2" t="s">
        <v>240</v>
      </c>
      <c r="B242" s="4">
        <v>1009</v>
      </c>
    </row>
    <row r="243" spans="1:5">
      <c r="A243" s="2" t="s">
        <v>241</v>
      </c>
      <c r="B243" s="4">
        <v>1822</v>
      </c>
    </row>
    <row r="244" spans="1:5">
      <c r="A244" s="2" t="s">
        <v>242</v>
      </c>
      <c r="B244" s="4">
        <v>609</v>
      </c>
    </row>
    <row r="245" spans="1:5">
      <c r="A245" s="2" t="s">
        <v>243</v>
      </c>
      <c r="B245" s="4">
        <v>590</v>
      </c>
    </row>
    <row r="246" spans="1:5">
      <c r="A246" s="2" t="s">
        <v>244</v>
      </c>
      <c r="B246" s="4">
        <v>4242</v>
      </c>
      <c r="C246" s="19"/>
      <c r="D246" s="19"/>
      <c r="E246" s="18"/>
    </row>
    <row r="247" spans="1:5">
      <c r="A247" s="2" t="s">
        <v>245</v>
      </c>
      <c r="B247" s="4">
        <v>6059</v>
      </c>
    </row>
    <row r="248" spans="1:5">
      <c r="A248" s="2" t="s">
        <v>246</v>
      </c>
      <c r="B248">
        <v>6853</v>
      </c>
    </row>
    <row r="249" spans="1:5">
      <c r="A249" s="2" t="s">
        <v>247</v>
      </c>
      <c r="B249">
        <v>7967</v>
      </c>
    </row>
    <row r="250" spans="1:5">
      <c r="A250" s="2" t="s">
        <v>248</v>
      </c>
      <c r="B250">
        <v>5271</v>
      </c>
    </row>
    <row r="251" spans="1:5">
      <c r="A251" s="2" t="s">
        <v>249</v>
      </c>
      <c r="B251">
        <v>5705</v>
      </c>
    </row>
    <row r="252" spans="1:5">
      <c r="A252" s="2" t="s">
        <v>279</v>
      </c>
      <c r="B252" s="8">
        <v>-4864</v>
      </c>
    </row>
    <row r="253" spans="1:5">
      <c r="A253" s="2" t="s">
        <v>251</v>
      </c>
      <c r="B253" s="4">
        <v>4386</v>
      </c>
    </row>
    <row r="254" spans="1:5">
      <c r="A254" s="2" t="s">
        <v>252</v>
      </c>
      <c r="B254" s="4">
        <v>5198</v>
      </c>
    </row>
    <row r="255" spans="1:5">
      <c r="A255" s="2" t="s">
        <v>253</v>
      </c>
      <c r="B255">
        <v>9043</v>
      </c>
    </row>
    <row r="256" spans="1:5">
      <c r="A256" s="2" t="s">
        <v>254</v>
      </c>
      <c r="B256">
        <v>12936</v>
      </c>
    </row>
    <row r="257" spans="1:3">
      <c r="A257" s="2" t="s">
        <v>255</v>
      </c>
      <c r="B257" s="8">
        <f>(1051862/1000000)*1000</f>
        <v>1051.8620000000001</v>
      </c>
      <c r="C257" s="8"/>
    </row>
    <row r="258" spans="1:3">
      <c r="A258" s="2" t="s">
        <v>256</v>
      </c>
      <c r="B258" s="8">
        <f>(1667915/1000000)*1000</f>
        <v>1667.915</v>
      </c>
    </row>
    <row r="259" spans="1:3">
      <c r="A259" s="2" t="s">
        <v>257</v>
      </c>
      <c r="B259" s="8">
        <f>(1710703/1000000)*1000</f>
        <v>1710.703</v>
      </c>
    </row>
    <row r="260" spans="1:3">
      <c r="A260" s="2" t="s">
        <v>258</v>
      </c>
      <c r="B260" s="8">
        <f>(1973275/1000000)*1000</f>
        <v>1973.2749999999999</v>
      </c>
    </row>
    <row r="261" spans="1:3">
      <c r="A261" s="2" t="s">
        <v>259</v>
      </c>
      <c r="B261" s="8">
        <f>(5006676/1000000)*1000</f>
        <v>5006.6759999999995</v>
      </c>
    </row>
    <row r="262" spans="1:3">
      <c r="A262" s="2" t="s">
        <v>260</v>
      </c>
      <c r="B262" s="8">
        <f>(1670115/1000000)*1000</f>
        <v>1670.115</v>
      </c>
    </row>
    <row r="263" spans="1:3">
      <c r="A263" s="2" t="s">
        <v>280</v>
      </c>
      <c r="B263" s="8">
        <v>3284</v>
      </c>
    </row>
    <row r="264" spans="1:3">
      <c r="A264" s="2" t="s">
        <v>262</v>
      </c>
      <c r="B264">
        <v>-328</v>
      </c>
    </row>
    <row r="265" spans="1:3">
      <c r="A265" s="2" t="s">
        <v>263</v>
      </c>
      <c r="B265" s="8">
        <v>2916</v>
      </c>
    </row>
    <row r="266" spans="1:3">
      <c r="A266" s="2" t="s">
        <v>264</v>
      </c>
      <c r="B266" s="8">
        <v>1191</v>
      </c>
    </row>
    <row r="267" spans="1:3">
      <c r="A267" s="2" t="s">
        <v>265</v>
      </c>
      <c r="B267" s="8">
        <v>1092</v>
      </c>
    </row>
    <row r="268" spans="1:3">
      <c r="A268" s="2" t="s">
        <v>266</v>
      </c>
      <c r="B268" s="8">
        <v>2236</v>
      </c>
      <c r="C268" s="8"/>
    </row>
    <row r="269" spans="1:3">
      <c r="A269" s="2" t="s">
        <v>267</v>
      </c>
      <c r="B269" s="8">
        <v>1759</v>
      </c>
    </row>
    <row r="270" spans="1:3">
      <c r="A270" s="2" t="s">
        <v>268</v>
      </c>
      <c r="B270" s="8">
        <v>2162</v>
      </c>
    </row>
    <row r="271" spans="1:3">
      <c r="A271" s="2" t="s">
        <v>269</v>
      </c>
      <c r="B271" s="8">
        <v>2821</v>
      </c>
    </row>
    <row r="272" spans="1:3">
      <c r="A272" s="2" t="s">
        <v>270</v>
      </c>
      <c r="B272" s="8">
        <v>2986</v>
      </c>
    </row>
    <row r="273" spans="1:2">
      <c r="A273" s="2" t="s">
        <v>271</v>
      </c>
      <c r="B273" s="8">
        <v>3595</v>
      </c>
    </row>
    <row r="274" spans="1:2">
      <c r="A274" s="2" t="s">
        <v>281</v>
      </c>
      <c r="B274" s="8">
        <v>5580</v>
      </c>
    </row>
    <row r="275" spans="1:2">
      <c r="A275" s="2" t="s">
        <v>273</v>
      </c>
      <c r="B275" s="8">
        <v>5017</v>
      </c>
    </row>
    <row r="276" spans="1:2">
      <c r="A276" s="2" t="s">
        <v>274</v>
      </c>
      <c r="B276" s="8">
        <v>5595</v>
      </c>
    </row>
    <row r="277" spans="1:2">
      <c r="A277" s="2" t="s">
        <v>275</v>
      </c>
      <c r="B277" s="8">
        <v>7769</v>
      </c>
    </row>
    <row r="278" spans="1:2">
      <c r="A278" s="2" t="s">
        <v>276</v>
      </c>
      <c r="B278" s="8">
        <v>8749</v>
      </c>
    </row>
  </sheetData>
  <phoneticPr fontId="2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B43F-0698-4D25-B679-4D9848D32062}">
  <sheetPr codeName="Hoja12"/>
  <dimension ref="A1:B278"/>
  <sheetViews>
    <sheetView topLeftCell="A244" workbookViewId="0">
      <selection activeCell="F243" sqref="F243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19.501899999999999</v>
      </c>
    </row>
    <row r="3" spans="1:2">
      <c r="A3" s="2" t="s">
        <v>1</v>
      </c>
      <c r="B3">
        <f>(Ingresos_Millones!B3-Ingresos_Millones!B2)/Ingresos_Millones!B2*100</f>
        <v>3.2052715203833904</v>
      </c>
    </row>
    <row r="4" spans="1:2">
      <c r="A4" s="2" t="s">
        <v>2</v>
      </c>
      <c r="B4">
        <f>(Ingresos_Millones!B4-Ingresos_Millones!B3)/Ingresos_Millones!B3*100</f>
        <v>2.23998703922154</v>
      </c>
    </row>
    <row r="5" spans="1:2">
      <c r="A5" s="2" t="s">
        <v>3</v>
      </c>
      <c r="B5">
        <f>(Ingresos_Millones!B5-Ingresos_Millones!B4)/Ingresos_Millones!B4*100</f>
        <v>5.6279135638995932</v>
      </c>
    </row>
    <row r="6" spans="1:2">
      <c r="A6" s="2" t="s">
        <v>4</v>
      </c>
      <c r="B6">
        <f>(Ingresos_Millones!B6-Ingresos_Millones!B5)/Ingresos_Millones!B5*100</f>
        <v>-4.1317602759569905</v>
      </c>
    </row>
    <row r="7" spans="1:2">
      <c r="A7" s="2" t="s">
        <v>5</v>
      </c>
      <c r="B7">
        <f>(Ingresos_Millones!B7-Ingresos_Millones!B6)/Ingresos_Millones!B6*100</f>
        <v>1.8407278019239484</v>
      </c>
    </row>
    <row r="8" spans="1:2">
      <c r="A8" s="2" t="s">
        <v>6</v>
      </c>
      <c r="B8">
        <f>(Ingresos_Millones!B8-Ingresos_Millones!B7)/Ingresos_Millones!B7*100</f>
        <v>3.5226150398776523</v>
      </c>
    </row>
    <row r="9" spans="1:2">
      <c r="A9" s="2" t="s">
        <v>7</v>
      </c>
      <c r="B9">
        <f>(Ingresos_Millones!B9-Ingresos_Millones!B8)/Ingresos_Millones!B8*100</f>
        <v>8.2005499853273491</v>
      </c>
    </row>
    <row r="10" spans="1:2">
      <c r="A10" s="2" t="s">
        <v>8</v>
      </c>
      <c r="B10">
        <f>(Ingresos_Millones!B10-Ingresos_Millones!B9)/Ingresos_Millones!B9*100</f>
        <v>-3.2954153799197146</v>
      </c>
    </row>
    <row r="11" spans="1:2">
      <c r="A11" s="2" t="s">
        <v>9</v>
      </c>
      <c r="B11">
        <f>(Ingresos_Millones!B11-Ingresos_Millones!B10)/Ingresos_Millones!B10*100</f>
        <v>16.603262050054035</v>
      </c>
    </row>
    <row r="12" spans="1:2">
      <c r="A12" s="2" t="s">
        <v>10</v>
      </c>
      <c r="B12">
        <f>(Ingresos_Millones!B12-Ingresos_Millones!B11)/Ingresos_Millones!B11*100</f>
        <v>14.043092541453253</v>
      </c>
    </row>
    <row r="13" spans="1:2">
      <c r="A13" s="2" t="s">
        <v>11</v>
      </c>
      <c r="B13">
        <v>23.001899999999999</v>
      </c>
    </row>
    <row r="14" spans="1:2">
      <c r="A14" s="2" t="s">
        <v>12</v>
      </c>
      <c r="B14">
        <v>-0.8</v>
      </c>
    </row>
    <row r="15" spans="1:2">
      <c r="A15" s="2" t="s">
        <v>13</v>
      </c>
      <c r="B15">
        <v>5.2</v>
      </c>
    </row>
    <row r="16" spans="1:2">
      <c r="A16" s="2" t="s">
        <v>14</v>
      </c>
      <c r="B16">
        <v>3.4</v>
      </c>
    </row>
    <row r="17" spans="1:2">
      <c r="A17" s="2" t="s">
        <v>15</v>
      </c>
      <c r="B17">
        <v>-4.9000000000000004</v>
      </c>
    </row>
    <row r="18" spans="1:2">
      <c r="A18" s="2" t="s">
        <v>16</v>
      </c>
      <c r="B18">
        <v>3</v>
      </c>
    </row>
    <row r="19" spans="1:2">
      <c r="A19" s="2" t="s">
        <v>17</v>
      </c>
      <c r="B19">
        <v>5.6</v>
      </c>
    </row>
    <row r="20" spans="1:2">
      <c r="A20" s="2" t="s">
        <v>18</v>
      </c>
      <c r="B20">
        <v>-5</v>
      </c>
    </row>
    <row r="21" spans="1:2">
      <c r="A21" s="2" t="s">
        <v>19</v>
      </c>
      <c r="B21">
        <v>-13.7</v>
      </c>
    </row>
    <row r="22" spans="1:2">
      <c r="A22" s="2" t="s">
        <v>20</v>
      </c>
      <c r="B22">
        <v>5.0999999999999996</v>
      </c>
    </row>
    <row r="23" spans="1:2">
      <c r="A23" s="2" t="s">
        <v>21</v>
      </c>
      <c r="B23">
        <v>-8.1999999999999993</v>
      </c>
    </row>
    <row r="24" spans="1:2">
      <c r="A24" s="2" t="s">
        <v>22</v>
      </c>
      <c r="B24">
        <v>9.3018999999999998</v>
      </c>
    </row>
    <row r="25" spans="1:2">
      <c r="A25" s="2" t="s">
        <v>23</v>
      </c>
      <c r="B25">
        <v>7.9</v>
      </c>
    </row>
    <row r="26" spans="1:2">
      <c r="A26" s="2" t="s">
        <v>24</v>
      </c>
      <c r="B26">
        <v>-5.2</v>
      </c>
    </row>
    <row r="27" spans="1:2">
      <c r="A27" s="2" t="s">
        <v>25</v>
      </c>
      <c r="B27">
        <v>-4.0999999999999996</v>
      </c>
    </row>
    <row r="28" spans="1:2">
      <c r="A28" s="2" t="s">
        <v>26</v>
      </c>
      <c r="B28">
        <v>-3.9</v>
      </c>
    </row>
    <row r="29" spans="1:2">
      <c r="A29" s="2" t="s">
        <v>27</v>
      </c>
      <c r="B29">
        <v>10.9</v>
      </c>
    </row>
    <row r="30" spans="1:2">
      <c r="A30" s="2" t="s">
        <v>28</v>
      </c>
      <c r="B30">
        <v>4.9000000000000004</v>
      </c>
    </row>
    <row r="31" spans="1:2">
      <c r="A31" s="2" t="s">
        <v>29</v>
      </c>
      <c r="B31">
        <v>-2</v>
      </c>
    </row>
    <row r="32" spans="1:2">
      <c r="A32" s="2" t="s">
        <v>30</v>
      </c>
      <c r="B32">
        <v>-1.8</v>
      </c>
    </row>
    <row r="33" spans="1:2">
      <c r="A33" s="2" t="s">
        <v>31</v>
      </c>
      <c r="B33">
        <v>5.4</v>
      </c>
    </row>
    <row r="34" spans="1:2">
      <c r="A34" s="2" t="s">
        <v>32</v>
      </c>
      <c r="B34">
        <v>-3.7</v>
      </c>
    </row>
    <row r="35" spans="1:2">
      <c r="A35" s="2" t="s">
        <v>33</v>
      </c>
      <c r="B35">
        <v>5.7019000000000002</v>
      </c>
    </row>
    <row r="36" spans="1:2">
      <c r="A36" s="2" t="s">
        <v>34</v>
      </c>
      <c r="B36">
        <v>-1.5</v>
      </c>
    </row>
    <row r="37" spans="1:2">
      <c r="A37" s="2" t="s">
        <v>35</v>
      </c>
      <c r="B37">
        <v>9.4</v>
      </c>
    </row>
    <row r="38" spans="1:2">
      <c r="A38" s="2" t="s">
        <v>36</v>
      </c>
      <c r="B38">
        <v>-1.9</v>
      </c>
    </row>
    <row r="39" spans="1:2">
      <c r="A39" s="2" t="s">
        <v>37</v>
      </c>
      <c r="B39">
        <v>3.8</v>
      </c>
    </row>
    <row r="40" spans="1:2">
      <c r="A40" s="2" t="s">
        <v>38</v>
      </c>
      <c r="B40">
        <v>1.5</v>
      </c>
    </row>
    <row r="41" spans="1:2">
      <c r="A41" s="2" t="s">
        <v>39</v>
      </c>
      <c r="B41">
        <v>2.2999999999999998</v>
      </c>
    </row>
    <row r="42" spans="1:2">
      <c r="A42" s="2" t="s">
        <v>40</v>
      </c>
      <c r="B42">
        <v>-2.8</v>
      </c>
    </row>
    <row r="43" spans="1:2">
      <c r="A43" s="2" t="s">
        <v>41</v>
      </c>
      <c r="B43">
        <v>-18.399999999999999</v>
      </c>
    </row>
    <row r="44" spans="1:2">
      <c r="A44" s="2" t="s">
        <v>42</v>
      </c>
      <c r="B44">
        <v>7.2</v>
      </c>
    </row>
    <row r="45" spans="1:2">
      <c r="A45" s="2" t="s">
        <v>43</v>
      </c>
      <c r="B45">
        <v>15.9</v>
      </c>
    </row>
    <row r="46" spans="1:2">
      <c r="A46" s="2" t="s">
        <v>44</v>
      </c>
      <c r="B46">
        <v>10.8019</v>
      </c>
    </row>
    <row r="47" spans="1:2">
      <c r="A47" s="2" t="s">
        <v>45</v>
      </c>
      <c r="B47">
        <v>1.3</v>
      </c>
    </row>
    <row r="48" spans="1:2">
      <c r="A48" s="2" t="s">
        <v>46</v>
      </c>
      <c r="B48">
        <v>2.1</v>
      </c>
    </row>
    <row r="49" spans="1:2">
      <c r="A49" s="2" t="s">
        <v>47</v>
      </c>
      <c r="B49">
        <v>0.3</v>
      </c>
    </row>
    <row r="50" spans="1:2">
      <c r="A50" s="2" t="s">
        <v>48</v>
      </c>
      <c r="B50">
        <v>-2.2999999999999998</v>
      </c>
    </row>
    <row r="51" spans="1:2">
      <c r="A51" s="2" t="s">
        <v>49</v>
      </c>
      <c r="B51">
        <v>9.1999999999999993</v>
      </c>
    </row>
    <row r="52" spans="1:2">
      <c r="A52" s="2" t="s">
        <v>50</v>
      </c>
      <c r="B52">
        <v>-6.5</v>
      </c>
    </row>
    <row r="53" spans="1:2">
      <c r="A53" s="2" t="s">
        <v>51</v>
      </c>
      <c r="B53">
        <v>-6.7</v>
      </c>
    </row>
    <row r="54" spans="1:2">
      <c r="A54" s="2" t="s">
        <v>52</v>
      </c>
      <c r="B54">
        <v>-10.7</v>
      </c>
    </row>
    <row r="55" spans="1:2">
      <c r="A55" s="2" t="s">
        <v>53</v>
      </c>
      <c r="B55">
        <v>3.7</v>
      </c>
    </row>
    <row r="56" spans="1:2">
      <c r="A56" s="2" t="s">
        <v>54</v>
      </c>
      <c r="B56">
        <v>23.4</v>
      </c>
    </row>
    <row r="57" spans="1:2">
      <c r="A57" s="2" t="s">
        <v>55</v>
      </c>
      <c r="B57">
        <v>12.601900000000001</v>
      </c>
    </row>
    <row r="58" spans="1:2">
      <c r="A58" s="2" t="s">
        <v>56</v>
      </c>
      <c r="B58">
        <v>-11.1</v>
      </c>
    </row>
    <row r="59" spans="1:2">
      <c r="A59" s="2" t="s">
        <v>57</v>
      </c>
      <c r="B59">
        <v>-11.8</v>
      </c>
    </row>
    <row r="60" spans="1:2">
      <c r="A60" s="2" t="s">
        <v>58</v>
      </c>
      <c r="B60">
        <v>-7.5</v>
      </c>
    </row>
    <row r="61" spans="1:2">
      <c r="A61" s="2" t="s">
        <v>59</v>
      </c>
      <c r="B61">
        <v>-6</v>
      </c>
    </row>
    <row r="62" spans="1:2">
      <c r="A62" s="2" t="s">
        <v>60</v>
      </c>
      <c r="B62">
        <v>1.2</v>
      </c>
    </row>
    <row r="63" spans="1:2">
      <c r="A63" s="2" t="s">
        <v>61</v>
      </c>
      <c r="B63">
        <v>1.1000000000000001</v>
      </c>
    </row>
    <row r="64" spans="1:2">
      <c r="A64" s="2" t="s">
        <v>62</v>
      </c>
      <c r="B64">
        <v>-5.7</v>
      </c>
    </row>
    <row r="65" spans="1:2">
      <c r="A65" s="2" t="s">
        <v>63</v>
      </c>
      <c r="B65">
        <v>2.1</v>
      </c>
    </row>
    <row r="66" spans="1:2">
      <c r="A66" s="2" t="s">
        <v>64</v>
      </c>
      <c r="B66">
        <v>11</v>
      </c>
    </row>
    <row r="67" spans="1:2">
      <c r="A67" s="2" t="s">
        <v>65</v>
      </c>
      <c r="B67">
        <v>-12</v>
      </c>
    </row>
    <row r="68" spans="1:2">
      <c r="A68" s="2" t="s">
        <v>66</v>
      </c>
      <c r="B68">
        <v>11.101900000000001</v>
      </c>
    </row>
    <row r="69" spans="1:2">
      <c r="A69" s="2" t="s">
        <v>67</v>
      </c>
      <c r="B69">
        <v>1.6</v>
      </c>
    </row>
    <row r="70" spans="1:2">
      <c r="A70" s="2" t="s">
        <v>68</v>
      </c>
      <c r="B70">
        <v>3.7</v>
      </c>
    </row>
    <row r="71" spans="1:2">
      <c r="A71" s="2" t="s">
        <v>69</v>
      </c>
      <c r="B71">
        <v>3.2</v>
      </c>
    </row>
    <row r="72" spans="1:2">
      <c r="A72" s="2" t="s">
        <v>70</v>
      </c>
      <c r="B72">
        <v>-4.3</v>
      </c>
    </row>
    <row r="73" spans="1:2">
      <c r="A73" s="2" t="s">
        <v>71</v>
      </c>
      <c r="B73">
        <v>1.9</v>
      </c>
    </row>
    <row r="74" spans="1:2">
      <c r="A74" s="2" t="s">
        <v>72</v>
      </c>
      <c r="B74">
        <v>3.1</v>
      </c>
    </row>
    <row r="75" spans="1:2">
      <c r="A75" s="2" t="s">
        <v>73</v>
      </c>
      <c r="B75">
        <v>-12.2</v>
      </c>
    </row>
    <row r="76" spans="1:2">
      <c r="A76" s="2" t="s">
        <v>74</v>
      </c>
      <c r="B76">
        <v>-11.1</v>
      </c>
    </row>
    <row r="77" spans="1:2">
      <c r="A77" s="2" t="s">
        <v>75</v>
      </c>
      <c r="B77">
        <v>5.4</v>
      </c>
    </row>
    <row r="78" spans="1:2">
      <c r="A78" s="2" t="s">
        <v>76</v>
      </c>
      <c r="B78">
        <v>3.1</v>
      </c>
    </row>
    <row r="79" spans="1:2">
      <c r="A79" s="2" t="s">
        <v>77</v>
      </c>
      <c r="B79">
        <v>25.8019</v>
      </c>
    </row>
    <row r="80" spans="1:2">
      <c r="A80" s="2" t="s">
        <v>78</v>
      </c>
      <c r="B80">
        <v>7.6</v>
      </c>
    </row>
    <row r="81" spans="1:2">
      <c r="A81" s="2" t="s">
        <v>79</v>
      </c>
      <c r="B81">
        <v>3.7</v>
      </c>
    </row>
    <row r="82" spans="1:2">
      <c r="A82" s="2" t="s">
        <v>80</v>
      </c>
      <c r="B82">
        <v>2.9</v>
      </c>
    </row>
    <row r="83" spans="1:2">
      <c r="A83" s="2" t="s">
        <v>81</v>
      </c>
      <c r="B83">
        <v>-2.1</v>
      </c>
    </row>
    <row r="84" spans="1:2">
      <c r="A84" s="2" t="s">
        <v>82</v>
      </c>
      <c r="B84">
        <v>3.7</v>
      </c>
    </row>
    <row r="85" spans="1:2">
      <c r="A85" s="2" t="s">
        <v>83</v>
      </c>
      <c r="B85">
        <v>4</v>
      </c>
    </row>
    <row r="86" spans="1:2">
      <c r="A86" s="2" t="s">
        <v>84</v>
      </c>
      <c r="B86">
        <v>1.3</v>
      </c>
    </row>
    <row r="87" spans="1:2">
      <c r="A87" s="2" t="s">
        <v>85</v>
      </c>
      <c r="B87">
        <v>0.5</v>
      </c>
    </row>
    <row r="88" spans="1:2">
      <c r="A88" s="2" t="s">
        <v>86</v>
      </c>
      <c r="B88">
        <v>21.7</v>
      </c>
    </row>
    <row r="89" spans="1:2">
      <c r="A89" s="2" t="s">
        <v>87</v>
      </c>
      <c r="B89">
        <v>9.8000000000000007</v>
      </c>
    </row>
    <row r="90" spans="1:2">
      <c r="A90" s="2" t="s">
        <v>88</v>
      </c>
      <c r="B90">
        <v>1.5019</v>
      </c>
    </row>
    <row r="91" spans="1:2">
      <c r="A91" s="2" t="s">
        <v>89</v>
      </c>
      <c r="B91">
        <v>-7.6</v>
      </c>
    </row>
    <row r="92" spans="1:2">
      <c r="A92" s="2" t="s">
        <v>90</v>
      </c>
      <c r="B92">
        <v>17.399999999999999</v>
      </c>
    </row>
    <row r="93" spans="1:2">
      <c r="A93" s="2" t="s">
        <v>91</v>
      </c>
      <c r="B93">
        <v>7.4</v>
      </c>
    </row>
    <row r="94" spans="1:2">
      <c r="A94" s="2" t="s">
        <v>92</v>
      </c>
      <c r="B94">
        <v>-12.3</v>
      </c>
    </row>
    <row r="95" spans="1:2">
      <c r="A95" s="2" t="s">
        <v>93</v>
      </c>
      <c r="B95">
        <v>-4.5999999999999996</v>
      </c>
    </row>
    <row r="96" spans="1:2">
      <c r="A96" s="2" t="s">
        <v>94</v>
      </c>
      <c r="B96">
        <v>2.7</v>
      </c>
    </row>
    <row r="97" spans="1:2">
      <c r="A97" s="2" t="s">
        <v>95</v>
      </c>
      <c r="B97">
        <v>-4.0999999999999996</v>
      </c>
    </row>
    <row r="98" spans="1:2">
      <c r="A98" s="2" t="s">
        <v>96</v>
      </c>
      <c r="B98">
        <v>0.3</v>
      </c>
    </row>
    <row r="99" spans="1:2">
      <c r="A99" s="2" t="s">
        <v>97</v>
      </c>
      <c r="B99">
        <v>24.7</v>
      </c>
    </row>
    <row r="100" spans="1:2">
      <c r="A100" s="2" t="s">
        <v>98</v>
      </c>
      <c r="B100">
        <v>-2.9</v>
      </c>
    </row>
    <row r="101" spans="1:2">
      <c r="A101" s="2" t="s">
        <v>99</v>
      </c>
      <c r="B101">
        <v>16.3019</v>
      </c>
    </row>
    <row r="102" spans="1:2">
      <c r="A102" s="2" t="s">
        <v>100</v>
      </c>
      <c r="B102">
        <v>-2.7</v>
      </c>
    </row>
    <row r="103" spans="1:2">
      <c r="A103" s="2" t="s">
        <v>101</v>
      </c>
    </row>
    <row r="104" spans="1:2">
      <c r="A104" s="2" t="s">
        <v>102</v>
      </c>
      <c r="B104">
        <v>-1.1000000000000001</v>
      </c>
    </row>
    <row r="105" spans="1:2">
      <c r="A105" s="2" t="s">
        <v>103</v>
      </c>
      <c r="B105">
        <v>-1.9</v>
      </c>
    </row>
    <row r="106" spans="1:2">
      <c r="A106" s="2" t="s">
        <v>104</v>
      </c>
      <c r="B106">
        <v>6.5</v>
      </c>
    </row>
    <row r="107" spans="1:2">
      <c r="A107" s="2" t="s">
        <v>105</v>
      </c>
      <c r="B107">
        <v>-3.2</v>
      </c>
    </row>
    <row r="108" spans="1:2">
      <c r="A108" s="2" t="s">
        <v>106</v>
      </c>
      <c r="B108">
        <v>-13</v>
      </c>
    </row>
    <row r="109" spans="1:2">
      <c r="A109" s="2" t="s">
        <v>107</v>
      </c>
      <c r="B109">
        <v>-18.399999999999999</v>
      </c>
    </row>
    <row r="110" spans="1:2">
      <c r="A110" s="2" t="s">
        <v>108</v>
      </c>
      <c r="B110">
        <v>1.1000000000000001</v>
      </c>
    </row>
    <row r="111" spans="1:2">
      <c r="A111" s="2" t="s">
        <v>109</v>
      </c>
      <c r="B111">
        <v>4.4000000000000004</v>
      </c>
    </row>
    <row r="112" spans="1:2">
      <c r="A112" s="2" t="s">
        <v>110</v>
      </c>
      <c r="B112">
        <v>-2.1000999999999999</v>
      </c>
    </row>
    <row r="113" spans="1:2">
      <c r="A113" s="2" t="s">
        <v>111</v>
      </c>
      <c r="B113">
        <v>-11.5</v>
      </c>
    </row>
    <row r="114" spans="1:2">
      <c r="A114" s="2" t="s">
        <v>112</v>
      </c>
      <c r="B114">
        <v>-12.2</v>
      </c>
    </row>
    <row r="115" spans="1:2">
      <c r="A115" s="2" t="s">
        <v>113</v>
      </c>
      <c r="B115">
        <v>-9.1</v>
      </c>
    </row>
    <row r="116" spans="1:2">
      <c r="A116" s="2" t="s">
        <v>114</v>
      </c>
      <c r="B116">
        <v>-10.3</v>
      </c>
    </row>
    <row r="117" spans="1:2">
      <c r="A117" s="2" t="s">
        <v>115</v>
      </c>
      <c r="B117">
        <v>6.7</v>
      </c>
    </row>
    <row r="118" spans="1:2">
      <c r="A118" s="2" t="s">
        <v>116</v>
      </c>
      <c r="B118">
        <v>0.2</v>
      </c>
    </row>
    <row r="119" spans="1:2">
      <c r="A119" s="2" t="s">
        <v>117</v>
      </c>
      <c r="B119">
        <v>-4.5</v>
      </c>
    </row>
    <row r="120" spans="1:2">
      <c r="A120" s="2" t="s">
        <v>118</v>
      </c>
      <c r="B120">
        <v>-8.3000000000000007</v>
      </c>
    </row>
    <row r="121" spans="1:2">
      <c r="A121" s="2" t="s">
        <v>119</v>
      </c>
      <c r="B121">
        <v>4.0999999999999996</v>
      </c>
    </row>
    <row r="122" spans="1:2">
      <c r="A122" s="2" t="s">
        <v>120</v>
      </c>
      <c r="B122">
        <v>-5.9</v>
      </c>
    </row>
    <row r="123" spans="1:2">
      <c r="A123" s="2" t="s">
        <v>121</v>
      </c>
      <c r="B123">
        <v>11.3019</v>
      </c>
    </row>
    <row r="124" spans="1:2">
      <c r="A124" s="2" t="s">
        <v>122</v>
      </c>
      <c r="B124">
        <v>19.899999999999999</v>
      </c>
    </row>
    <row r="125" spans="1:2">
      <c r="A125" s="2" t="s">
        <v>123</v>
      </c>
      <c r="B125">
        <v>17</v>
      </c>
    </row>
    <row r="126" spans="1:2">
      <c r="A126" s="2" t="s">
        <v>124</v>
      </c>
      <c r="B126">
        <v>-6.3</v>
      </c>
    </row>
    <row r="127" spans="1:2">
      <c r="A127" s="2" t="s">
        <v>125</v>
      </c>
      <c r="B127">
        <v>-9.4</v>
      </c>
    </row>
    <row r="128" spans="1:2">
      <c r="A128" s="2" t="s">
        <v>126</v>
      </c>
      <c r="B128">
        <v>-2</v>
      </c>
    </row>
    <row r="129" spans="1:2">
      <c r="A129" s="2" t="s">
        <v>127</v>
      </c>
      <c r="B129">
        <v>4.5</v>
      </c>
    </row>
    <row r="130" spans="1:2">
      <c r="A130" s="2" t="s">
        <v>128</v>
      </c>
      <c r="B130">
        <v>-10.8</v>
      </c>
    </row>
    <row r="131" spans="1:2">
      <c r="A131" s="2" t="s">
        <v>129</v>
      </c>
      <c r="B131">
        <v>1.5</v>
      </c>
    </row>
    <row r="132" spans="1:2">
      <c r="A132" s="2" t="s">
        <v>130</v>
      </c>
      <c r="B132">
        <v>21.7</v>
      </c>
    </row>
    <row r="133" spans="1:2">
      <c r="A133" s="2" t="s">
        <v>131</v>
      </c>
      <c r="B133">
        <v>-4.2</v>
      </c>
    </row>
    <row r="134" spans="1:2">
      <c r="A134" s="2" t="s">
        <v>132</v>
      </c>
      <c r="B134">
        <v>-1.9000999999999999</v>
      </c>
    </row>
    <row r="135" spans="1:2">
      <c r="A135" s="2" t="s">
        <v>133</v>
      </c>
      <c r="B135">
        <v>-0.4</v>
      </c>
    </row>
    <row r="136" spans="1:2">
      <c r="A136" s="2" t="s">
        <v>134</v>
      </c>
      <c r="B136">
        <v>-5.3</v>
      </c>
    </row>
    <row r="137" spans="1:2">
      <c r="A137" s="2" t="s">
        <v>135</v>
      </c>
      <c r="B137">
        <v>-3.6</v>
      </c>
    </row>
    <row r="138" spans="1:2">
      <c r="A138" s="2" t="s">
        <v>136</v>
      </c>
      <c r="B138">
        <v>-9.6</v>
      </c>
    </row>
    <row r="139" spans="1:2">
      <c r="A139" s="2" t="s">
        <v>137</v>
      </c>
      <c r="B139">
        <v>3.9</v>
      </c>
    </row>
    <row r="140" spans="1:2">
      <c r="A140" s="2" t="s">
        <v>138</v>
      </c>
      <c r="B140">
        <v>1.4</v>
      </c>
    </row>
    <row r="141" spans="1:2">
      <c r="A141" s="2" t="s">
        <v>139</v>
      </c>
      <c r="B141">
        <v>-2.8</v>
      </c>
    </row>
    <row r="142" spans="1:2">
      <c r="A142" s="2" t="s">
        <v>140</v>
      </c>
      <c r="B142">
        <v>11.7</v>
      </c>
    </row>
    <row r="143" spans="1:2">
      <c r="A143" s="2" t="s">
        <v>141</v>
      </c>
      <c r="B143">
        <v>4</v>
      </c>
    </row>
    <row r="144" spans="1:2">
      <c r="A144" s="2" t="s">
        <v>142</v>
      </c>
      <c r="B144">
        <v>-3.5</v>
      </c>
    </row>
    <row r="145" spans="1:2">
      <c r="A145" s="2" t="s">
        <v>143</v>
      </c>
      <c r="B145" s="4">
        <v>2.5316338207852271</v>
      </c>
    </row>
    <row r="146" spans="1:2">
      <c r="A146" s="2" t="s">
        <v>144</v>
      </c>
      <c r="B146" s="4">
        <v>-1.8359448335517874</v>
      </c>
    </row>
    <row r="147" spans="1:2">
      <c r="A147" s="2" t="s">
        <v>145</v>
      </c>
      <c r="B147" s="4">
        <v>15.084001949181628</v>
      </c>
    </row>
    <row r="148" spans="1:2">
      <c r="A148" s="2" t="s">
        <v>146</v>
      </c>
      <c r="B148" s="4">
        <v>10.992847906483275</v>
      </c>
    </row>
    <row r="149" spans="1:2">
      <c r="A149" s="2" t="s">
        <v>147</v>
      </c>
      <c r="B149" s="4">
        <v>37.485849671777586</v>
      </c>
    </row>
    <row r="150" spans="1:2">
      <c r="A150" s="2" t="s">
        <v>148</v>
      </c>
      <c r="B150" s="4">
        <v>22.166057671551048</v>
      </c>
    </row>
    <row r="151" spans="1:2">
      <c r="A151" s="2" t="s">
        <v>149</v>
      </c>
      <c r="B151" s="4">
        <v>22.10857111506343</v>
      </c>
    </row>
    <row r="152" spans="1:2">
      <c r="A152" s="2" t="s">
        <v>150</v>
      </c>
      <c r="B152" s="4">
        <v>-4.33976097255821</v>
      </c>
    </row>
    <row r="153" spans="1:2">
      <c r="A153" s="2" t="s">
        <v>151</v>
      </c>
      <c r="B153" s="4">
        <v>26.094801320982718</v>
      </c>
    </row>
    <row r="154" spans="1:2">
      <c r="A154" s="2" t="s">
        <v>152</v>
      </c>
      <c r="B154">
        <v>47.370161035064882</v>
      </c>
    </row>
    <row r="155" spans="1:2">
      <c r="A155" s="2" t="s">
        <v>153</v>
      </c>
      <c r="B155">
        <v>92.44398314915442</v>
      </c>
    </row>
    <row r="156" spans="1:2">
      <c r="A156" s="2" t="s">
        <v>154</v>
      </c>
      <c r="B156" s="11">
        <v>75.805180566024802</v>
      </c>
    </row>
    <row r="157" spans="1:2">
      <c r="A157" s="2" t="s">
        <v>155</v>
      </c>
      <c r="B157" s="4">
        <v>101.35060075423159</v>
      </c>
    </row>
    <row r="158" spans="1:2">
      <c r="A158" s="2" t="s">
        <v>156</v>
      </c>
      <c r="B158" s="4">
        <v>387.22728768608329</v>
      </c>
    </row>
    <row r="159" spans="1:2">
      <c r="A159" s="2" t="s">
        <v>157</v>
      </c>
      <c r="B159" s="4">
        <v>58.84590781407065</v>
      </c>
    </row>
    <row r="160" spans="1:2">
      <c r="A160" s="2" t="s">
        <v>158</v>
      </c>
      <c r="B160" s="4">
        <v>26.503272306147281</v>
      </c>
    </row>
    <row r="161" spans="1:2">
      <c r="A161" s="2" t="s">
        <v>159</v>
      </c>
      <c r="B161" s="4">
        <v>73.012574069611517</v>
      </c>
    </row>
    <row r="162" spans="1:2">
      <c r="A162" s="2" t="s">
        <v>160</v>
      </c>
      <c r="B162" s="4">
        <v>206.58376156335342</v>
      </c>
    </row>
    <row r="163" spans="1:2">
      <c r="A163" s="2" t="s">
        <v>161</v>
      </c>
      <c r="B163" s="4">
        <v>14.52259018432648</v>
      </c>
    </row>
    <row r="164" spans="1:2">
      <c r="A164" s="2" t="s">
        <v>162</v>
      </c>
      <c r="B164">
        <v>28.3</v>
      </c>
    </row>
    <row r="165" spans="1:2">
      <c r="A165" s="2" t="s">
        <v>163</v>
      </c>
      <c r="B165">
        <v>70.7</v>
      </c>
    </row>
    <row r="166" spans="1:2">
      <c r="A166" s="2" t="s">
        <v>164</v>
      </c>
      <c r="B166">
        <v>51.4</v>
      </c>
    </row>
    <row r="167" spans="1:2">
      <c r="A167" s="2" t="s">
        <v>165</v>
      </c>
      <c r="B167">
        <v>31.8019</v>
      </c>
    </row>
    <row r="168" spans="1:2">
      <c r="A168" s="2" t="s">
        <v>166</v>
      </c>
      <c r="B168">
        <v>11.8</v>
      </c>
    </row>
    <row r="169" spans="1:2">
      <c r="A169" s="2" t="s">
        <v>167</v>
      </c>
      <c r="B169">
        <v>5.6</v>
      </c>
    </row>
    <row r="170" spans="1:2">
      <c r="A170" s="2" t="s">
        <v>168</v>
      </c>
      <c r="B170">
        <v>2.7</v>
      </c>
    </row>
    <row r="171" spans="1:2">
      <c r="A171" s="2" t="s">
        <v>169</v>
      </c>
      <c r="B171">
        <v>-11.9</v>
      </c>
    </row>
    <row r="172" spans="1:2">
      <c r="A172" s="2" t="s">
        <v>170</v>
      </c>
      <c r="B172">
        <v>1.5</v>
      </c>
    </row>
    <row r="173" spans="1:2">
      <c r="A173" s="2" t="s">
        <v>171</v>
      </c>
      <c r="B173">
        <v>7</v>
      </c>
    </row>
    <row r="174" spans="1:2">
      <c r="A174" s="2" t="s">
        <v>172</v>
      </c>
      <c r="B174">
        <v>1.6</v>
      </c>
    </row>
    <row r="175" spans="1:2">
      <c r="A175" s="2" t="s">
        <v>173</v>
      </c>
      <c r="B175">
        <v>-10.199999999999999</v>
      </c>
    </row>
    <row r="176" spans="1:2">
      <c r="A176" s="2" t="s">
        <v>174</v>
      </c>
      <c r="B176">
        <v>16.5</v>
      </c>
    </row>
    <row r="177" spans="1:2">
      <c r="A177" s="2" t="s">
        <v>175</v>
      </c>
      <c r="B177">
        <v>-0.7</v>
      </c>
    </row>
    <row r="178" spans="1:2">
      <c r="A178" s="2" t="s">
        <v>176</v>
      </c>
      <c r="B178">
        <v>30.101900000000001</v>
      </c>
    </row>
    <row r="179" spans="1:2">
      <c r="A179" s="2" t="s">
        <v>177</v>
      </c>
      <c r="B179">
        <v>-6.2</v>
      </c>
    </row>
    <row r="180" spans="1:2">
      <c r="A180" s="2" t="s">
        <v>178</v>
      </c>
      <c r="B180">
        <v>-6.7</v>
      </c>
    </row>
    <row r="181" spans="1:2">
      <c r="A181" s="2" t="s">
        <v>179</v>
      </c>
      <c r="B181">
        <v>-1.5</v>
      </c>
    </row>
    <row r="182" spans="1:2">
      <c r="A182" s="2" t="s">
        <v>180</v>
      </c>
      <c r="B182">
        <v>-10.1</v>
      </c>
    </row>
    <row r="183" spans="1:2">
      <c r="A183" s="2" t="s">
        <v>181</v>
      </c>
      <c r="B183">
        <v>-4.8</v>
      </c>
    </row>
    <row r="184" spans="1:2">
      <c r="A184" s="2" t="s">
        <v>182</v>
      </c>
      <c r="B184">
        <v>14.8</v>
      </c>
    </row>
    <row r="185" spans="1:2">
      <c r="A185" s="2" t="s">
        <v>183</v>
      </c>
      <c r="B185">
        <v>1.6</v>
      </c>
    </row>
    <row r="186" spans="1:2">
      <c r="A186" s="2" t="s">
        <v>184</v>
      </c>
      <c r="B186">
        <v>-19.600000000000001</v>
      </c>
    </row>
    <row r="187" spans="1:2">
      <c r="A187" s="2" t="s">
        <v>185</v>
      </c>
      <c r="B187">
        <v>18</v>
      </c>
    </row>
    <row r="188" spans="1:2">
      <c r="A188" s="2" t="s">
        <v>186</v>
      </c>
      <c r="B188">
        <v>7.9</v>
      </c>
    </row>
    <row r="189" spans="1:2">
      <c r="A189" s="2" t="s">
        <v>187</v>
      </c>
      <c r="B189">
        <v>125.9019</v>
      </c>
    </row>
    <row r="190" spans="1:2">
      <c r="A190" s="2" t="s">
        <v>188</v>
      </c>
      <c r="B190">
        <v>5.0999999999999996</v>
      </c>
    </row>
    <row r="191" spans="1:2">
      <c r="A191" s="2" t="s">
        <v>189</v>
      </c>
      <c r="B191">
        <v>5</v>
      </c>
    </row>
    <row r="192" spans="1:2">
      <c r="A192" s="2" t="s">
        <v>190</v>
      </c>
      <c r="B192">
        <v>-3</v>
      </c>
    </row>
    <row r="193" spans="1:2">
      <c r="A193" s="2" t="s">
        <v>191</v>
      </c>
      <c r="B193">
        <v>5.3</v>
      </c>
    </row>
    <row r="194" spans="1:2">
      <c r="A194" s="2" t="s">
        <v>192</v>
      </c>
      <c r="B194">
        <v>19.5</v>
      </c>
    </row>
    <row r="195" spans="1:2">
      <c r="A195" s="2" t="s">
        <v>193</v>
      </c>
      <c r="B195">
        <v>20.6</v>
      </c>
    </row>
    <row r="196" spans="1:2">
      <c r="A196" s="2" t="s">
        <v>194</v>
      </c>
      <c r="B196">
        <v>-3.6</v>
      </c>
    </row>
    <row r="197" spans="1:2">
      <c r="A197" s="2" t="s">
        <v>195</v>
      </c>
      <c r="B197">
        <v>-1.5</v>
      </c>
    </row>
    <row r="198" spans="1:2">
      <c r="A198" s="2" t="s">
        <v>196</v>
      </c>
      <c r="B198">
        <v>18.399999999999999</v>
      </c>
    </row>
    <row r="199" spans="1:2">
      <c r="A199" s="2" t="s">
        <v>197</v>
      </c>
      <c r="B199">
        <v>8.1</v>
      </c>
    </row>
    <row r="200" spans="1:2">
      <c r="A200" s="2" t="s">
        <v>198</v>
      </c>
      <c r="B200">
        <v>23.501899999999999</v>
      </c>
    </row>
    <row r="201" spans="1:2">
      <c r="A201" s="2" t="s">
        <v>199</v>
      </c>
      <c r="B201">
        <v>12.4</v>
      </c>
    </row>
    <row r="202" spans="1:2">
      <c r="A202" s="2" t="s">
        <v>200</v>
      </c>
      <c r="B202">
        <v>0.8</v>
      </c>
    </row>
    <row r="203" spans="1:2">
      <c r="A203" s="2" t="s">
        <v>201</v>
      </c>
      <c r="B203">
        <v>4.4000000000000004</v>
      </c>
    </row>
    <row r="204" spans="1:2">
      <c r="A204" s="2" t="s">
        <v>202</v>
      </c>
      <c r="B204">
        <v>1.6</v>
      </c>
    </row>
    <row r="205" spans="1:2">
      <c r="A205" s="2" t="s">
        <v>203</v>
      </c>
      <c r="B205">
        <v>-4.3</v>
      </c>
    </row>
    <row r="206" spans="1:2">
      <c r="A206" s="2" t="s">
        <v>204</v>
      </c>
      <c r="B206">
        <v>13.5</v>
      </c>
    </row>
    <row r="207" spans="1:2">
      <c r="A207" s="2" t="s">
        <v>205</v>
      </c>
      <c r="B207">
        <v>-1.6</v>
      </c>
    </row>
    <row r="208" spans="1:2">
      <c r="A208" s="2" t="s">
        <v>206</v>
      </c>
      <c r="B208">
        <v>5.3</v>
      </c>
    </row>
    <row r="209" spans="1:2">
      <c r="A209" s="2" t="s">
        <v>207</v>
      </c>
      <c r="B209">
        <v>18</v>
      </c>
    </row>
    <row r="210" spans="1:2">
      <c r="A210" s="2" t="s">
        <v>208</v>
      </c>
      <c r="B210">
        <v>3.7</v>
      </c>
    </row>
    <row r="211" spans="1:2">
      <c r="A211" s="2" t="s">
        <v>209</v>
      </c>
      <c r="B211">
        <v>6.1018999999999997</v>
      </c>
    </row>
    <row r="212" spans="1:2">
      <c r="A212" s="2" t="s">
        <v>210</v>
      </c>
      <c r="B212">
        <v>12.9</v>
      </c>
    </row>
    <row r="213" spans="1:2">
      <c r="A213" s="2" t="s">
        <v>211</v>
      </c>
      <c r="B213">
        <v>-3.5</v>
      </c>
    </row>
    <row r="214" spans="1:2">
      <c r="A214" s="2" t="s">
        <v>212</v>
      </c>
      <c r="B214">
        <v>-3.4</v>
      </c>
    </row>
    <row r="215" spans="1:2">
      <c r="A215" s="2" t="s">
        <v>213</v>
      </c>
      <c r="B215">
        <v>-4.5</v>
      </c>
    </row>
    <row r="216" spans="1:2">
      <c r="A216" s="2" t="s">
        <v>214</v>
      </c>
      <c r="B216">
        <v>7.7</v>
      </c>
    </row>
    <row r="217" spans="1:2">
      <c r="A217" s="2" t="s">
        <v>215</v>
      </c>
      <c r="B217">
        <v>2.8</v>
      </c>
    </row>
    <row r="218" spans="1:2">
      <c r="A218" s="2" t="s">
        <v>216</v>
      </c>
      <c r="B218">
        <v>1</v>
      </c>
    </row>
    <row r="219" spans="1:2">
      <c r="A219" s="2" t="s">
        <v>217</v>
      </c>
      <c r="B219">
        <v>-6.5</v>
      </c>
    </row>
    <row r="220" spans="1:2">
      <c r="A220" s="2" t="s">
        <v>218</v>
      </c>
      <c r="B220">
        <v>8.8000000000000007</v>
      </c>
    </row>
    <row r="221" spans="1:2">
      <c r="A221" s="2" t="s">
        <v>219</v>
      </c>
      <c r="B221">
        <v>-1.7</v>
      </c>
    </row>
    <row r="222" spans="1:2">
      <c r="A222" s="2" t="s">
        <v>220</v>
      </c>
      <c r="B222">
        <v>19.3019</v>
      </c>
    </row>
    <row r="223" spans="1:2">
      <c r="A223" s="2" t="s">
        <v>221</v>
      </c>
      <c r="B223">
        <v>7.3</v>
      </c>
    </row>
    <row r="224" spans="1:2">
      <c r="A224" s="2" t="s">
        <v>222</v>
      </c>
      <c r="B224">
        <v>13</v>
      </c>
    </row>
    <row r="225" spans="1:2">
      <c r="A225" s="2" t="s">
        <v>223</v>
      </c>
      <c r="B225">
        <v>5.2</v>
      </c>
    </row>
    <row r="226" spans="1:2">
      <c r="A226" s="2" t="s">
        <v>224</v>
      </c>
      <c r="B226">
        <v>-7.6</v>
      </c>
    </row>
    <row r="227" spans="1:2">
      <c r="A227" s="2" t="s">
        <v>225</v>
      </c>
      <c r="B227">
        <v>7.6</v>
      </c>
    </row>
    <row r="228" spans="1:2">
      <c r="A228" s="2" t="s">
        <v>226</v>
      </c>
      <c r="B228">
        <v>4.8</v>
      </c>
    </row>
    <row r="229" spans="1:2">
      <c r="A229" s="2" t="s">
        <v>227</v>
      </c>
      <c r="B229">
        <v>-3.4</v>
      </c>
    </row>
    <row r="230" spans="1:2">
      <c r="A230" s="2" t="s">
        <v>228</v>
      </c>
      <c r="B230">
        <v>-17.2</v>
      </c>
    </row>
    <row r="231" spans="1:2">
      <c r="A231" s="2" t="s">
        <v>229</v>
      </c>
      <c r="B231">
        <v>11</v>
      </c>
    </row>
    <row r="232" spans="1:2">
      <c r="A232" s="2" t="s">
        <v>230</v>
      </c>
      <c r="B232">
        <v>4.4000000000000004</v>
      </c>
    </row>
    <row r="233" spans="1:2">
      <c r="A233" s="2" t="s">
        <v>231</v>
      </c>
      <c r="B233" s="4">
        <v>7.4704174525592748</v>
      </c>
    </row>
    <row r="234" spans="1:2">
      <c r="A234" s="2" t="s">
        <v>232</v>
      </c>
      <c r="B234" s="4">
        <v>-17.163312263366791</v>
      </c>
    </row>
    <row r="235" spans="1:2">
      <c r="A235" s="2" t="s">
        <v>233</v>
      </c>
      <c r="B235" s="4">
        <v>1.3101651872234192</v>
      </c>
    </row>
    <row r="236" spans="1:2">
      <c r="A236" s="2" t="s">
        <v>234</v>
      </c>
      <c r="B236" s="4">
        <v>30.545204324303217</v>
      </c>
    </row>
    <row r="237" spans="1:2">
      <c r="A237" s="2" t="s">
        <v>235</v>
      </c>
      <c r="B237" s="4">
        <v>6.0828661640569628</v>
      </c>
    </row>
    <row r="238" spans="1:2">
      <c r="A238" s="2" t="s">
        <v>236</v>
      </c>
      <c r="B238" s="4">
        <v>-5.8555548806414386</v>
      </c>
    </row>
    <row r="239" spans="1:2">
      <c r="A239" s="2" t="s">
        <v>237</v>
      </c>
      <c r="B239" s="4">
        <v>-2.1549777404993873</v>
      </c>
    </row>
    <row r="240" spans="1:2">
      <c r="A240" s="2" t="s">
        <v>238</v>
      </c>
      <c r="B240" s="4">
        <v>9.864820309924168</v>
      </c>
    </row>
    <row r="241" spans="1:2">
      <c r="A241" s="2" t="s">
        <v>278</v>
      </c>
      <c r="B241" s="4">
        <v>-22.669707700618211</v>
      </c>
    </row>
    <row r="242" spans="1:2">
      <c r="A242" s="2" t="s">
        <v>240</v>
      </c>
      <c r="B242" s="4">
        <v>11.432784849425644</v>
      </c>
    </row>
    <row r="243" spans="1:2">
      <c r="A243" s="2" t="s">
        <v>241</v>
      </c>
      <c r="B243" s="4">
        <v>-8.9921292749181578</v>
      </c>
    </row>
    <row r="244" spans="1:2">
      <c r="A244" s="2" t="s">
        <v>242</v>
      </c>
      <c r="B244" s="4">
        <v>19.531608755548753</v>
      </c>
    </row>
    <row r="245" spans="1:2">
      <c r="A245" s="2" t="s">
        <v>243</v>
      </c>
      <c r="B245" s="4">
        <v>11.979766935587142</v>
      </c>
    </row>
    <row r="246" spans="1:2">
      <c r="A246" s="2" t="s">
        <v>244</v>
      </c>
      <c r="B246" s="4">
        <v>-14.477671679341301</v>
      </c>
    </row>
    <row r="247" spans="1:2">
      <c r="A247" s="2" t="s">
        <v>245</v>
      </c>
      <c r="B247" s="4">
        <v>27.839807448017652</v>
      </c>
    </row>
    <row r="248" spans="1:2">
      <c r="A248" s="2" t="s">
        <v>246</v>
      </c>
      <c r="B248" s="4">
        <v>30.045499712358144</v>
      </c>
    </row>
    <row r="249" spans="1:2">
      <c r="A249" s="2" t="s">
        <v>247</v>
      </c>
      <c r="B249" s="4">
        <v>6.5189415265824824</v>
      </c>
    </row>
    <row r="250" spans="1:2">
      <c r="A250" s="2" t="s">
        <v>248</v>
      </c>
      <c r="B250" s="4">
        <v>-4.5531770302412502</v>
      </c>
    </row>
    <row r="251" spans="1:2">
      <c r="A251" s="2" t="s">
        <v>249</v>
      </c>
      <c r="B251" s="4">
        <v>-6.8312171195759666</v>
      </c>
    </row>
    <row r="252" spans="1:2">
      <c r="A252" s="2" t="s">
        <v>279</v>
      </c>
      <c r="B252" s="4">
        <v>-5.3621465568480939</v>
      </c>
    </row>
    <row r="253" spans="1:2">
      <c r="A253" s="2" t="s">
        <v>251</v>
      </c>
      <c r="B253" s="4">
        <v>-34.327755596429057</v>
      </c>
    </row>
    <row r="254" spans="1:2">
      <c r="A254" s="2" t="s">
        <v>252</v>
      </c>
      <c r="B254" s="4">
        <v>12.664799508163128</v>
      </c>
    </row>
    <row r="255" spans="1:2">
      <c r="A255" s="2" t="s">
        <v>253</v>
      </c>
      <c r="B255" s="4">
        <v>103.51664342448312</v>
      </c>
    </row>
    <row r="256" spans="1:2">
      <c r="A256" s="2" t="s">
        <v>254</v>
      </c>
      <c r="B256" s="4">
        <v>31.680867544539115</v>
      </c>
    </row>
    <row r="257" spans="1:2">
      <c r="A257" s="2" t="s">
        <v>255</v>
      </c>
      <c r="B257" s="4">
        <v>92.114681293537444</v>
      </c>
    </row>
    <row r="258" spans="1:2">
      <c r="A258" s="2" t="s">
        <v>256</v>
      </c>
      <c r="B258" s="4">
        <v>55.40158762608278</v>
      </c>
    </row>
    <row r="259" spans="1:2">
      <c r="A259" s="2" t="s">
        <v>257</v>
      </c>
      <c r="B259" s="4">
        <v>47.380545665189352</v>
      </c>
    </row>
    <row r="260" spans="1:2">
      <c r="A260" s="2" t="s">
        <v>258</v>
      </c>
      <c r="B260" s="4">
        <v>49.822978494379122</v>
      </c>
    </row>
    <row r="261" spans="1:2">
      <c r="A261" s="2" t="s">
        <v>259</v>
      </c>
      <c r="B261" s="4">
        <v>29.620965572233732</v>
      </c>
    </row>
    <row r="262" spans="1:2">
      <c r="A262" s="2" t="s">
        <v>260</v>
      </c>
      <c r="B262" s="4">
        <v>-0.84264830316406403</v>
      </c>
    </row>
    <row r="263" spans="1:2">
      <c r="A263" s="2" t="s">
        <v>280</v>
      </c>
      <c r="B263" s="4">
        <v>28.271973587428761</v>
      </c>
    </row>
    <row r="264" spans="1:2">
      <c r="A264" s="2" t="s">
        <v>262</v>
      </c>
      <c r="B264" s="4">
        <v>18.375019180604575</v>
      </c>
    </row>
    <row r="265" spans="1:2">
      <c r="A265" s="2" t="s">
        <v>263</v>
      </c>
      <c r="B265" s="4">
        <v>6.3581567178689484</v>
      </c>
    </row>
    <row r="266" spans="1:2">
      <c r="A266" s="2" t="s">
        <v>264</v>
      </c>
      <c r="B266" s="4">
        <v>19.049360146252287</v>
      </c>
    </row>
    <row r="267" spans="1:2">
      <c r="A267" s="2" t="s">
        <v>265</v>
      </c>
      <c r="B267" s="4">
        <v>-8.2156019656019659</v>
      </c>
    </row>
    <row r="268" spans="1:2">
      <c r="A268" s="2" t="s">
        <v>266</v>
      </c>
      <c r="B268">
        <v>-1.6540168981812975</v>
      </c>
    </row>
    <row r="269" spans="1:2">
      <c r="A269" s="2" t="s">
        <v>267</v>
      </c>
      <c r="B269">
        <v>-6.6254095376774664</v>
      </c>
    </row>
    <row r="270" spans="1:2">
      <c r="A270" s="2" t="s">
        <v>268</v>
      </c>
      <c r="B270">
        <v>-4.8343079922027288</v>
      </c>
    </row>
    <row r="271" spans="1:2">
      <c r="A271" s="2" t="s">
        <v>269</v>
      </c>
      <c r="B271">
        <v>6.8824252355591975</v>
      </c>
    </row>
    <row r="272" spans="1:2">
      <c r="A272" s="2" t="s">
        <v>270</v>
      </c>
      <c r="B272">
        <v>-0.34495975469528556</v>
      </c>
    </row>
    <row r="273" spans="1:2">
      <c r="A273" s="2" t="s">
        <v>271</v>
      </c>
      <c r="B273">
        <v>2.8461538461538463</v>
      </c>
    </row>
    <row r="274" spans="1:2">
      <c r="A274" s="2" t="s">
        <v>281</v>
      </c>
      <c r="B274">
        <v>11.899775617053104</v>
      </c>
    </row>
    <row r="275" spans="1:2">
      <c r="A275" s="2" t="s">
        <v>273</v>
      </c>
      <c r="B275">
        <v>-3.863378116436067</v>
      </c>
    </row>
    <row r="276" spans="1:2">
      <c r="A276" s="2" t="s">
        <v>274</v>
      </c>
      <c r="B276">
        <v>0.54230689007856492</v>
      </c>
    </row>
    <row r="277" spans="1:2">
      <c r="A277" s="2" t="s">
        <v>275</v>
      </c>
      <c r="B277">
        <v>26.851531705967773</v>
      </c>
    </row>
    <row r="278" spans="1:2">
      <c r="A278" s="2" t="s">
        <v>276</v>
      </c>
      <c r="B278">
        <v>9.1801133885739219</v>
      </c>
    </row>
  </sheetData>
  <phoneticPr fontId="2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4D427-2CEF-4C5F-8A13-5F911CDCE65B}">
  <sheetPr codeName="Hoja13"/>
  <dimension ref="A1:D278"/>
  <sheetViews>
    <sheetView topLeftCell="A228" zoomScale="103" zoomScaleNormal="180" workbookViewId="0">
      <selection activeCell="B239" sqref="B238:B239"/>
    </sheetView>
  </sheetViews>
  <sheetFormatPr baseColWidth="10" defaultRowHeight="14.4"/>
  <cols>
    <col min="1" max="1" width="24.33203125" bestFit="1" customWidth="1"/>
    <col min="2" max="2" width="13.33203125" bestFit="1" customWidth="1"/>
  </cols>
  <sheetData>
    <row r="1" spans="1:3">
      <c r="A1" s="1"/>
      <c r="B1" s="1">
        <v>2011</v>
      </c>
    </row>
    <row r="2" spans="1:3">
      <c r="A2" s="2" t="s">
        <v>0</v>
      </c>
      <c r="B2">
        <v>95692.301900000006</v>
      </c>
    </row>
    <row r="3" spans="1:3">
      <c r="A3" s="2" t="s">
        <v>1</v>
      </c>
      <c r="B3">
        <v>98759.5</v>
      </c>
    </row>
    <row r="4" spans="1:3">
      <c r="A4" s="2" t="s">
        <v>2</v>
      </c>
      <c r="B4">
        <v>100971.7</v>
      </c>
    </row>
    <row r="5" spans="1:3">
      <c r="A5" s="2" t="s">
        <v>3</v>
      </c>
      <c r="B5">
        <v>106654.3</v>
      </c>
    </row>
    <row r="6" spans="1:3">
      <c r="A6" s="2" t="s">
        <v>4</v>
      </c>
      <c r="B6">
        <v>102247.6</v>
      </c>
    </row>
    <row r="7" spans="1:3">
      <c r="A7" s="2" t="s">
        <v>5</v>
      </c>
      <c r="B7">
        <v>104129.7</v>
      </c>
      <c r="C7" s="16">
        <v>1.1399999999999999</v>
      </c>
    </row>
    <row r="8" spans="1:3">
      <c r="A8" s="2" t="s">
        <v>277</v>
      </c>
      <c r="B8">
        <v>107797.78847317948</v>
      </c>
    </row>
    <row r="9" spans="1:3">
      <c r="A9" s="2" t="s">
        <v>7</v>
      </c>
      <c r="B9">
        <v>116637.8</v>
      </c>
    </row>
    <row r="10" spans="1:3">
      <c r="A10" s="2" t="s">
        <v>8</v>
      </c>
      <c r="B10">
        <v>112794.1</v>
      </c>
    </row>
    <row r="11" spans="1:3">
      <c r="A11" s="2" t="s">
        <v>9</v>
      </c>
      <c r="B11">
        <v>131521.60000000001</v>
      </c>
    </row>
    <row r="12" spans="1:3">
      <c r="A12" s="2" t="s">
        <v>10</v>
      </c>
      <c r="B12">
        <v>149991.29999999999</v>
      </c>
    </row>
    <row r="13" spans="1:3">
      <c r="A13" s="2" t="s">
        <v>11</v>
      </c>
      <c r="B13">
        <v>42415.601900000001</v>
      </c>
    </row>
    <row r="14" spans="1:3">
      <c r="A14" s="2" t="s">
        <v>12</v>
      </c>
      <c r="B14">
        <v>42070.2</v>
      </c>
    </row>
    <row r="15" spans="1:3">
      <c r="A15" s="2" t="s">
        <v>13</v>
      </c>
      <c r="B15">
        <v>44249</v>
      </c>
    </row>
    <row r="16" spans="1:3">
      <c r="A16" s="2" t="s">
        <v>14</v>
      </c>
      <c r="B16">
        <v>45772.800000000003</v>
      </c>
    </row>
    <row r="17" spans="1:2">
      <c r="A17" s="2" t="s">
        <v>15</v>
      </c>
      <c r="B17">
        <v>43519.1</v>
      </c>
    </row>
    <row r="18" spans="1:2">
      <c r="A18" s="2" t="s">
        <v>16</v>
      </c>
      <c r="B18">
        <v>44841.5</v>
      </c>
    </row>
    <row r="19" spans="1:2">
      <c r="A19" s="2" t="s">
        <v>17</v>
      </c>
      <c r="B19">
        <v>52404.7</v>
      </c>
    </row>
    <row r="20" spans="1:2">
      <c r="A20" s="2" t="s">
        <v>18</v>
      </c>
      <c r="B20">
        <v>49782.8</v>
      </c>
    </row>
    <row r="21" spans="1:2">
      <c r="A21" s="2" t="s">
        <v>19</v>
      </c>
      <c r="B21">
        <v>42982.7</v>
      </c>
    </row>
    <row r="22" spans="1:2">
      <c r="A22" s="2" t="s">
        <v>20</v>
      </c>
      <c r="B22">
        <v>45162.6</v>
      </c>
    </row>
    <row r="23" spans="1:2">
      <c r="A23" s="2" t="s">
        <v>21</v>
      </c>
      <c r="B23">
        <v>41448.699999999997</v>
      </c>
    </row>
    <row r="24" spans="1:2">
      <c r="A24" s="2" t="s">
        <v>22</v>
      </c>
      <c r="B24">
        <v>39953.7019</v>
      </c>
    </row>
    <row r="25" spans="1:2">
      <c r="A25" s="2" t="s">
        <v>23</v>
      </c>
      <c r="B25">
        <v>43122.2</v>
      </c>
    </row>
    <row r="26" spans="1:2">
      <c r="A26" s="2" t="s">
        <v>24</v>
      </c>
      <c r="B26">
        <v>40885.199999999997</v>
      </c>
    </row>
    <row r="27" spans="1:2">
      <c r="A27" s="2" t="s">
        <v>25</v>
      </c>
      <c r="B27">
        <v>39198.300000000003</v>
      </c>
    </row>
    <row r="28" spans="1:2">
      <c r="A28" s="2" t="s">
        <v>26</v>
      </c>
      <c r="B28">
        <v>37688.300000000003</v>
      </c>
    </row>
    <row r="29" spans="1:2">
      <c r="A29" s="2" t="s">
        <v>27</v>
      </c>
      <c r="B29">
        <v>41781</v>
      </c>
    </row>
    <row r="30" spans="1:2">
      <c r="A30" s="2" t="s">
        <v>28</v>
      </c>
      <c r="B30">
        <v>48368</v>
      </c>
    </row>
    <row r="31" spans="1:2">
      <c r="A31" s="2" t="s">
        <v>29</v>
      </c>
      <c r="B31">
        <v>47400.3</v>
      </c>
    </row>
    <row r="32" spans="1:2">
      <c r="A32" s="2" t="s">
        <v>30</v>
      </c>
      <c r="B32">
        <v>46569.3</v>
      </c>
    </row>
    <row r="33" spans="1:2">
      <c r="A33" s="2" t="s">
        <v>31</v>
      </c>
      <c r="B33">
        <v>49098.6</v>
      </c>
    </row>
    <row r="34" spans="1:2">
      <c r="A34" s="2" t="s">
        <v>32</v>
      </c>
      <c r="B34">
        <v>47292.2</v>
      </c>
    </row>
    <row r="35" spans="1:2">
      <c r="A35" s="2" t="s">
        <v>33</v>
      </c>
      <c r="B35">
        <v>136264.0019</v>
      </c>
    </row>
    <row r="36" spans="1:2">
      <c r="A36" s="2" t="s">
        <v>34</v>
      </c>
      <c r="B36">
        <v>134252</v>
      </c>
    </row>
    <row r="37" spans="1:2">
      <c r="A37" s="2" t="s">
        <v>35</v>
      </c>
      <c r="B37">
        <v>146917</v>
      </c>
    </row>
    <row r="38" spans="1:2">
      <c r="A38" s="2" t="s">
        <v>36</v>
      </c>
      <c r="B38">
        <v>144077</v>
      </c>
    </row>
    <row r="39" spans="1:2">
      <c r="A39" s="2" t="s">
        <v>37</v>
      </c>
      <c r="B39">
        <v>149558</v>
      </c>
    </row>
    <row r="40" spans="1:2">
      <c r="A40" s="2" t="s">
        <v>38</v>
      </c>
      <c r="B40">
        <v>151800</v>
      </c>
    </row>
    <row r="41" spans="1:2">
      <c r="A41" s="2" t="s">
        <v>39</v>
      </c>
      <c r="B41">
        <v>160338</v>
      </c>
    </row>
    <row r="42" spans="1:2">
      <c r="A42" s="2" t="s">
        <v>40</v>
      </c>
      <c r="B42">
        <v>155900</v>
      </c>
    </row>
    <row r="43" spans="1:2">
      <c r="A43" s="2" t="s">
        <v>41</v>
      </c>
      <c r="B43">
        <v>127144</v>
      </c>
    </row>
    <row r="44" spans="1:2">
      <c r="A44" s="2" t="s">
        <v>42</v>
      </c>
      <c r="B44">
        <v>136341</v>
      </c>
    </row>
    <row r="45" spans="1:2">
      <c r="A45" s="2" t="s">
        <v>43</v>
      </c>
      <c r="B45">
        <v>158057</v>
      </c>
    </row>
    <row r="46" spans="1:2">
      <c r="A46" s="2" t="s">
        <v>44</v>
      </c>
      <c r="B46">
        <v>150276.0019</v>
      </c>
    </row>
    <row r="47" spans="1:2">
      <c r="A47" s="2" t="s">
        <v>45</v>
      </c>
      <c r="B47">
        <v>152256</v>
      </c>
    </row>
    <row r="48" spans="1:2">
      <c r="A48" s="2" t="s">
        <v>46</v>
      </c>
      <c r="B48">
        <v>155427</v>
      </c>
    </row>
    <row r="49" spans="1:2">
      <c r="A49" s="2" t="s">
        <v>47</v>
      </c>
      <c r="B49">
        <v>155929</v>
      </c>
    </row>
    <row r="50" spans="1:2">
      <c r="A50" s="2" t="s">
        <v>48</v>
      </c>
      <c r="B50">
        <v>152356</v>
      </c>
    </row>
    <row r="51" spans="1:2">
      <c r="A51" s="2" t="s">
        <v>49</v>
      </c>
      <c r="B51">
        <v>166380</v>
      </c>
    </row>
    <row r="52" spans="1:2">
      <c r="A52" s="2" t="s">
        <v>50</v>
      </c>
      <c r="B52">
        <v>147049</v>
      </c>
    </row>
    <row r="53" spans="1:2">
      <c r="A53" s="2" t="s">
        <v>51</v>
      </c>
      <c r="B53">
        <v>137237</v>
      </c>
    </row>
    <row r="54" spans="1:2">
      <c r="A54" s="2" t="s">
        <v>52</v>
      </c>
      <c r="B54">
        <v>122485</v>
      </c>
    </row>
    <row r="55" spans="1:2">
      <c r="A55" s="2" t="s">
        <v>53</v>
      </c>
      <c r="B55">
        <v>127004</v>
      </c>
    </row>
    <row r="56" spans="1:2">
      <c r="A56" s="2" t="s">
        <v>54</v>
      </c>
      <c r="B56">
        <v>156735</v>
      </c>
    </row>
    <row r="57" spans="1:2">
      <c r="A57" s="2" t="s">
        <v>55</v>
      </c>
      <c r="B57">
        <v>122419.4019</v>
      </c>
    </row>
    <row r="58" spans="1:2">
      <c r="A58" s="2" t="s">
        <v>56</v>
      </c>
      <c r="B58">
        <v>108874.5</v>
      </c>
    </row>
    <row r="59" spans="1:2">
      <c r="A59" s="2" t="s">
        <v>57</v>
      </c>
      <c r="B59">
        <v>95988.2</v>
      </c>
    </row>
    <row r="60" spans="1:2">
      <c r="A60" s="2" t="s">
        <v>58</v>
      </c>
      <c r="B60">
        <v>88786.9</v>
      </c>
    </row>
    <row r="61" spans="1:2">
      <c r="A61" s="2" t="s">
        <v>59</v>
      </c>
      <c r="B61">
        <v>83583.5</v>
      </c>
    </row>
    <row r="62" spans="1:2">
      <c r="A62" s="2" t="s">
        <v>60</v>
      </c>
      <c r="B62">
        <v>84558.399999999994</v>
      </c>
    </row>
    <row r="63" spans="1:2">
      <c r="A63" s="2" t="s">
        <v>61</v>
      </c>
      <c r="B63">
        <v>85507.8</v>
      </c>
    </row>
    <row r="64" spans="1:2">
      <c r="A64" s="2" t="s">
        <v>62</v>
      </c>
      <c r="B64">
        <v>80639</v>
      </c>
    </row>
    <row r="65" spans="1:2">
      <c r="A65" s="2" t="s">
        <v>63</v>
      </c>
      <c r="B65">
        <v>82344.600000000006</v>
      </c>
    </row>
    <row r="66" spans="1:2">
      <c r="A66" s="2" t="s">
        <v>64</v>
      </c>
      <c r="B66">
        <v>91374.6</v>
      </c>
    </row>
    <row r="67" spans="1:2">
      <c r="A67" s="2" t="s">
        <v>65</v>
      </c>
      <c r="B67">
        <v>80388.600000000006</v>
      </c>
    </row>
    <row r="68" spans="1:2">
      <c r="A68" s="2" t="s">
        <v>66</v>
      </c>
      <c r="B68">
        <v>37059.001900000003</v>
      </c>
    </row>
    <row r="69" spans="1:2">
      <c r="A69" s="2" t="s">
        <v>67</v>
      </c>
      <c r="B69">
        <v>37665</v>
      </c>
    </row>
    <row r="70" spans="1:2">
      <c r="A70" s="2" t="s">
        <v>68</v>
      </c>
      <c r="B70">
        <v>39055</v>
      </c>
    </row>
    <row r="71" spans="1:2">
      <c r="A71" s="2" t="s">
        <v>69</v>
      </c>
      <c r="B71">
        <v>40306</v>
      </c>
    </row>
    <row r="72" spans="1:2">
      <c r="A72" s="2" t="s">
        <v>70</v>
      </c>
      <c r="B72">
        <v>38581</v>
      </c>
    </row>
    <row r="73" spans="1:2">
      <c r="A73" s="2" t="s">
        <v>71</v>
      </c>
      <c r="B73">
        <v>39302</v>
      </c>
    </row>
    <row r="74" spans="1:2">
      <c r="A74" s="2" t="s">
        <v>72</v>
      </c>
      <c r="B74">
        <v>41802</v>
      </c>
    </row>
    <row r="75" spans="1:2">
      <c r="A75" s="2" t="s">
        <v>73</v>
      </c>
      <c r="B75">
        <v>36709</v>
      </c>
    </row>
    <row r="76" spans="1:2">
      <c r="A76" s="2" t="s">
        <v>74</v>
      </c>
      <c r="B76">
        <v>32637</v>
      </c>
    </row>
    <row r="77" spans="1:2">
      <c r="A77" s="2" t="s">
        <v>75</v>
      </c>
      <c r="B77">
        <v>34392</v>
      </c>
    </row>
    <row r="78" spans="1:2">
      <c r="A78" s="2" t="s">
        <v>76</v>
      </c>
      <c r="B78">
        <v>35466</v>
      </c>
    </row>
    <row r="79" spans="1:2">
      <c r="A79" s="2" t="s">
        <v>77</v>
      </c>
      <c r="B79">
        <v>38987.801899999999</v>
      </c>
    </row>
    <row r="80" spans="1:2">
      <c r="A80" s="2" t="s">
        <v>78</v>
      </c>
      <c r="B80">
        <v>41945.8</v>
      </c>
    </row>
    <row r="81" spans="1:2">
      <c r="A81" s="2" t="s">
        <v>79</v>
      </c>
      <c r="B81">
        <v>43486.400000000001</v>
      </c>
    </row>
    <row r="82" spans="1:2">
      <c r="A82" s="2" t="s">
        <v>80</v>
      </c>
      <c r="B82">
        <v>44730.7</v>
      </c>
    </row>
    <row r="83" spans="1:2">
      <c r="A83" s="2" t="s">
        <v>81</v>
      </c>
      <c r="B83">
        <v>43792.4</v>
      </c>
    </row>
    <row r="84" spans="1:2">
      <c r="A84" s="2" t="s">
        <v>82</v>
      </c>
      <c r="B84">
        <v>45425</v>
      </c>
    </row>
    <row r="85" spans="1:2">
      <c r="A85" s="2" t="s">
        <v>83</v>
      </c>
      <c r="B85">
        <v>49238.400000000001</v>
      </c>
    </row>
    <row r="86" spans="1:2">
      <c r="A86" s="2" t="s">
        <v>84</v>
      </c>
      <c r="B86">
        <v>49894.400000000001</v>
      </c>
    </row>
    <row r="87" spans="1:2">
      <c r="A87" s="2" t="s">
        <v>85</v>
      </c>
      <c r="B87">
        <v>50155.1</v>
      </c>
    </row>
    <row r="88" spans="1:2">
      <c r="A88" s="2" t="s">
        <v>86</v>
      </c>
      <c r="B88">
        <v>61049.8</v>
      </c>
    </row>
    <row r="89" spans="1:2">
      <c r="A89" s="2" t="s">
        <v>87</v>
      </c>
      <c r="B89">
        <v>67054.600000000006</v>
      </c>
    </row>
    <row r="90" spans="1:2">
      <c r="A90" s="2" t="s">
        <v>88</v>
      </c>
      <c r="B90">
        <v>48976.501900000003</v>
      </c>
    </row>
    <row r="91" spans="1:2">
      <c r="A91" s="2" t="s">
        <v>89</v>
      </c>
      <c r="B91">
        <v>45246.1</v>
      </c>
    </row>
    <row r="92" spans="1:2">
      <c r="A92" s="2" t="s">
        <v>90</v>
      </c>
      <c r="B92">
        <v>53118.3</v>
      </c>
    </row>
    <row r="93" spans="1:2">
      <c r="A93" s="2" t="s">
        <v>91</v>
      </c>
      <c r="B93">
        <v>57038.6</v>
      </c>
    </row>
    <row r="94" spans="1:2">
      <c r="A94" s="2" t="s">
        <v>92</v>
      </c>
      <c r="B94">
        <v>49996.2</v>
      </c>
    </row>
    <row r="95" spans="1:2">
      <c r="A95" s="2" t="s">
        <v>93</v>
      </c>
      <c r="B95">
        <v>47712.2</v>
      </c>
    </row>
    <row r="96" spans="1:2">
      <c r="A96" s="2" t="s">
        <v>94</v>
      </c>
      <c r="B96">
        <v>55757.4</v>
      </c>
    </row>
    <row r="97" spans="1:2">
      <c r="A97" s="2" t="s">
        <v>95</v>
      </c>
      <c r="B97">
        <v>53464.3</v>
      </c>
    </row>
    <row r="98" spans="1:2">
      <c r="A98" s="2" t="s">
        <v>96</v>
      </c>
      <c r="B98">
        <v>53625.4</v>
      </c>
    </row>
    <row r="99" spans="1:2">
      <c r="A99" s="2" t="s">
        <v>97</v>
      </c>
      <c r="B99">
        <v>66861.8</v>
      </c>
    </row>
    <row r="100" spans="1:2">
      <c r="A100" s="2" t="s">
        <v>98</v>
      </c>
      <c r="B100">
        <v>64952.800000000003</v>
      </c>
    </row>
    <row r="101" spans="1:2">
      <c r="A101" s="2" t="s">
        <v>99</v>
      </c>
      <c r="B101">
        <v>119166.30190000001</v>
      </c>
    </row>
    <row r="102" spans="1:2">
      <c r="A102" s="2" t="s">
        <v>100</v>
      </c>
      <c r="B102">
        <v>115961.4</v>
      </c>
    </row>
    <row r="103" spans="1:2">
      <c r="A103" s="2" t="s">
        <v>101</v>
      </c>
      <c r="B103">
        <v>104635.8</v>
      </c>
    </row>
    <row r="104" spans="1:2">
      <c r="A104" s="2" t="s">
        <v>102</v>
      </c>
      <c r="B104">
        <v>103459.6</v>
      </c>
    </row>
    <row r="105" spans="1:2">
      <c r="A105" s="2" t="s">
        <v>103</v>
      </c>
      <c r="B105">
        <v>101536</v>
      </c>
    </row>
    <row r="106" spans="1:2">
      <c r="A106" s="2" t="s">
        <v>104</v>
      </c>
      <c r="B106">
        <v>108164.1</v>
      </c>
    </row>
    <row r="107" spans="1:2">
      <c r="A107" s="2" t="s">
        <v>105</v>
      </c>
      <c r="B107">
        <v>104390.6</v>
      </c>
    </row>
    <row r="108" spans="1:2">
      <c r="A108" s="2" t="s">
        <v>106</v>
      </c>
      <c r="B108">
        <v>90863.2</v>
      </c>
    </row>
    <row r="109" spans="1:2">
      <c r="A109" s="2" t="s">
        <v>107</v>
      </c>
      <c r="B109">
        <v>74169.5</v>
      </c>
    </row>
    <row r="110" spans="1:2">
      <c r="A110" s="2" t="s">
        <v>108</v>
      </c>
      <c r="B110">
        <v>74994.899999999994</v>
      </c>
    </row>
    <row r="111" spans="1:2">
      <c r="A111" s="2" t="s">
        <v>109</v>
      </c>
      <c r="B111">
        <v>78287.100000000006</v>
      </c>
    </row>
    <row r="112" spans="1:2">
      <c r="A112" s="2" t="s">
        <v>110</v>
      </c>
      <c r="B112">
        <v>99373.2019</v>
      </c>
    </row>
    <row r="113" spans="1:2">
      <c r="A113" s="2" t="s">
        <v>111</v>
      </c>
      <c r="B113">
        <v>87944.8</v>
      </c>
    </row>
    <row r="114" spans="1:2">
      <c r="A114" s="2" t="s">
        <v>112</v>
      </c>
      <c r="B114">
        <v>77225.600000000006</v>
      </c>
    </row>
    <row r="115" spans="1:2">
      <c r="A115" s="2" t="s">
        <v>113</v>
      </c>
      <c r="B115">
        <v>70169.600000000006</v>
      </c>
    </row>
    <row r="116" spans="1:2">
      <c r="A116" s="2" t="s">
        <v>114</v>
      </c>
      <c r="B116">
        <v>62920.800000000003</v>
      </c>
    </row>
    <row r="117" spans="1:2">
      <c r="A117" s="2" t="s">
        <v>115</v>
      </c>
      <c r="B117">
        <v>67774.899999999994</v>
      </c>
    </row>
    <row r="118" spans="1:2">
      <c r="A118" s="2" t="s">
        <v>116</v>
      </c>
      <c r="B118">
        <v>72178.399999999994</v>
      </c>
    </row>
    <row r="119" spans="1:2">
      <c r="A119" s="2" t="s">
        <v>117</v>
      </c>
      <c r="B119">
        <v>68896.600000000006</v>
      </c>
    </row>
    <row r="120" spans="1:2">
      <c r="A120" s="2" t="s">
        <v>118</v>
      </c>
      <c r="B120">
        <v>63191.3</v>
      </c>
    </row>
    <row r="121" spans="1:2">
      <c r="A121" s="2" t="s">
        <v>119</v>
      </c>
      <c r="B121">
        <v>65774.399999999994</v>
      </c>
    </row>
    <row r="122" spans="1:2">
      <c r="A122" s="2" t="s">
        <v>120</v>
      </c>
      <c r="B122">
        <v>61902.6</v>
      </c>
    </row>
    <row r="123" spans="1:2">
      <c r="A123" s="2" t="s">
        <v>121</v>
      </c>
      <c r="B123">
        <v>148944.4019</v>
      </c>
    </row>
    <row r="124" spans="1:2">
      <c r="A124" s="2" t="s">
        <v>122</v>
      </c>
      <c r="B124">
        <v>178554.8</v>
      </c>
    </row>
    <row r="125" spans="1:2">
      <c r="A125" s="2" t="s">
        <v>123</v>
      </c>
      <c r="B125">
        <v>208938.4</v>
      </c>
    </row>
    <row r="126" spans="1:2">
      <c r="A126" s="2" t="s">
        <v>124</v>
      </c>
      <c r="B126">
        <v>195845.3</v>
      </c>
    </row>
    <row r="127" spans="1:2">
      <c r="A127" s="2" t="s">
        <v>125</v>
      </c>
      <c r="B127">
        <v>177440.2</v>
      </c>
    </row>
    <row r="128" spans="1:2">
      <c r="A128" s="2" t="s">
        <v>126</v>
      </c>
      <c r="B128">
        <v>173957.3</v>
      </c>
    </row>
    <row r="129" spans="1:2">
      <c r="A129" s="2" t="s">
        <v>127</v>
      </c>
      <c r="B129">
        <v>221579.4</v>
      </c>
    </row>
    <row r="130" spans="1:2">
      <c r="A130" s="2" t="s">
        <v>128</v>
      </c>
      <c r="B130">
        <v>197704.6</v>
      </c>
    </row>
    <row r="131" spans="1:2">
      <c r="A131" s="2" t="s">
        <v>129</v>
      </c>
      <c r="B131">
        <v>200734.4</v>
      </c>
    </row>
    <row r="132" spans="1:2">
      <c r="A132" s="2" t="s">
        <v>130</v>
      </c>
      <c r="B132">
        <v>244334.9</v>
      </c>
    </row>
    <row r="133" spans="1:2">
      <c r="A133" s="2" t="s">
        <v>131</v>
      </c>
      <c r="B133">
        <v>234129.3</v>
      </c>
    </row>
    <row r="134" spans="1:2">
      <c r="A134" s="2" t="s">
        <v>132</v>
      </c>
      <c r="B134">
        <v>82237.2019</v>
      </c>
    </row>
    <row r="135" spans="1:2">
      <c r="A135" s="2" t="s">
        <v>133</v>
      </c>
      <c r="B135">
        <v>81897.3</v>
      </c>
    </row>
    <row r="136" spans="1:2">
      <c r="A136" s="2" t="s">
        <v>134</v>
      </c>
      <c r="B136">
        <v>77532.3</v>
      </c>
    </row>
    <row r="137" spans="1:2">
      <c r="A137" s="2" t="s">
        <v>135</v>
      </c>
      <c r="B137">
        <v>74724.899999999994</v>
      </c>
    </row>
    <row r="138" spans="1:2">
      <c r="A138" s="2" t="s">
        <v>136</v>
      </c>
      <c r="B138">
        <v>67518.8</v>
      </c>
    </row>
    <row r="139" spans="1:2">
      <c r="A139" s="2" t="s">
        <v>137</v>
      </c>
      <c r="B139">
        <v>70170.3</v>
      </c>
    </row>
    <row r="140" spans="1:2">
      <c r="A140" s="2" t="s">
        <v>138</v>
      </c>
      <c r="B140">
        <v>78157.7</v>
      </c>
    </row>
    <row r="141" spans="1:2">
      <c r="A141" s="2" t="s">
        <v>139</v>
      </c>
      <c r="B141">
        <v>75972.3</v>
      </c>
    </row>
    <row r="142" spans="1:2">
      <c r="A142" s="2" t="s">
        <v>140</v>
      </c>
      <c r="B142">
        <v>84893.1</v>
      </c>
    </row>
    <row r="143" spans="1:2">
      <c r="A143" s="2" t="s">
        <v>141</v>
      </c>
      <c r="B143">
        <v>88320.5</v>
      </c>
    </row>
    <row r="144" spans="1:2">
      <c r="A144" s="2" t="s">
        <v>142</v>
      </c>
      <c r="B144">
        <v>85254.9</v>
      </c>
    </row>
    <row r="145" spans="1:3">
      <c r="A145" s="2" t="s">
        <v>143</v>
      </c>
      <c r="B145" s="5">
        <f>(46312282000/6.463)/1000000</f>
        <v>7165.7561503945535</v>
      </c>
      <c r="C145" s="6"/>
    </row>
    <row r="146" spans="1:3">
      <c r="A146" s="2" t="s">
        <v>144</v>
      </c>
      <c r="B146" s="5">
        <f>(44380858000/6.3093)/1000000</f>
        <v>7034.1968205664652</v>
      </c>
    </row>
    <row r="147" spans="1:3">
      <c r="A147" s="2" t="s">
        <v>145</v>
      </c>
      <c r="B147" s="5">
        <f>(49767887000/6.1478)/1000000</f>
        <v>8095.235206089983</v>
      </c>
    </row>
    <row r="148" spans="1:3">
      <c r="A148" s="2" t="s">
        <v>146</v>
      </c>
      <c r="B148" s="5">
        <f>(55366384000/6.162)/1000000</f>
        <v>8985.1320999675427</v>
      </c>
    </row>
    <row r="149" spans="1:3">
      <c r="A149" s="2" t="s">
        <v>147</v>
      </c>
      <c r="B149" s="5">
        <f>(77611985000/6.2827)/1000000</f>
        <v>12353.285211772009</v>
      </c>
    </row>
    <row r="150" spans="1:3">
      <c r="A150" s="2" t="s">
        <v>148</v>
      </c>
      <c r="B150" s="5">
        <f>(100207703000/6.64)/1000000</f>
        <v>15091.521536144579</v>
      </c>
    </row>
    <row r="151" spans="1:3">
      <c r="A151" s="2" t="s">
        <v>149</v>
      </c>
      <c r="B151" s="5">
        <f>(121790925000/6.609)/1000000</f>
        <v>18428.041307308216</v>
      </c>
    </row>
    <row r="152" spans="1:3">
      <c r="A152" s="2" t="s">
        <v>150</v>
      </c>
      <c r="B152" s="5">
        <f>(121778117000/6.9081)/1000000</f>
        <v>17628.308362646749</v>
      </c>
    </row>
    <row r="153" spans="1:3">
      <c r="A153" s="2" t="s">
        <v>151</v>
      </c>
      <c r="B153" s="5">
        <f>(153469184000/6.9042)/1000000</f>
        <v>22228.3804061296</v>
      </c>
    </row>
    <row r="154" spans="1:3">
      <c r="A154" s="2" t="s">
        <v>152</v>
      </c>
      <c r="B154">
        <v>32758</v>
      </c>
    </row>
    <row r="155" spans="1:3">
      <c r="A155" s="2" t="s">
        <v>153</v>
      </c>
      <c r="B155">
        <v>63040.800000000003</v>
      </c>
    </row>
    <row r="156" spans="1:3">
      <c r="A156" s="2" t="s">
        <v>154</v>
      </c>
      <c r="B156" s="10">
        <f>205242*1000/1000000</f>
        <v>205.24199999999999</v>
      </c>
      <c r="C156" s="9"/>
    </row>
    <row r="157" spans="1:3">
      <c r="A157" s="2" t="s">
        <v>155</v>
      </c>
      <c r="B157" s="10">
        <f>413256*1000/1000000</f>
        <v>413.25599999999997</v>
      </c>
    </row>
    <row r="158" spans="1:3">
      <c r="A158" s="2" t="s">
        <v>156</v>
      </c>
      <c r="B158" s="10">
        <f>2013496*1000/1000000</f>
        <v>2013.4960000000001</v>
      </c>
    </row>
    <row r="159" spans="1:3">
      <c r="A159" s="2" t="s">
        <v>157</v>
      </c>
      <c r="B159" s="10">
        <f>3198356*1000/1000000</f>
        <v>3198.3560000000002</v>
      </c>
    </row>
    <row r="160" spans="1:3">
      <c r="A160" s="2" t="s">
        <v>158</v>
      </c>
      <c r="B160" s="10">
        <f>4046025*1000/1000000</f>
        <v>4046.0250000000001</v>
      </c>
    </row>
    <row r="161" spans="1:2">
      <c r="A161" s="2" t="s">
        <v>159</v>
      </c>
      <c r="B161" s="10">
        <f>7000132*1000/1000000</f>
        <v>7000.1319999999996</v>
      </c>
    </row>
    <row r="162" spans="1:2">
      <c r="A162" s="2" t="s">
        <v>160</v>
      </c>
      <c r="B162" s="10">
        <f>21461268*1000/1000000</f>
        <v>21461.268</v>
      </c>
    </row>
    <row r="163" spans="1:2">
      <c r="A163" s="2" t="s">
        <v>161</v>
      </c>
      <c r="B163" s="10">
        <f>24578</f>
        <v>24578</v>
      </c>
    </row>
    <row r="164" spans="1:2">
      <c r="A164" s="2" t="s">
        <v>162</v>
      </c>
      <c r="B164">
        <v>31536</v>
      </c>
    </row>
    <row r="165" spans="1:2">
      <c r="A165" s="2" t="s">
        <v>163</v>
      </c>
      <c r="B165">
        <v>53823</v>
      </c>
    </row>
    <row r="166" spans="1:2">
      <c r="A166" s="2" t="s">
        <v>164</v>
      </c>
      <c r="B166">
        <v>81462</v>
      </c>
    </row>
    <row r="167" spans="1:2">
      <c r="A167" s="2" t="s">
        <v>165</v>
      </c>
      <c r="B167">
        <v>221550.5019</v>
      </c>
    </row>
    <row r="168" spans="1:2">
      <c r="A168" s="2" t="s">
        <v>166</v>
      </c>
      <c r="B168">
        <v>247613.3</v>
      </c>
    </row>
    <row r="169" spans="1:2">
      <c r="A169" s="2" t="s">
        <v>167</v>
      </c>
      <c r="B169">
        <v>261539.1</v>
      </c>
    </row>
    <row r="170" spans="1:2">
      <c r="A170" s="2" t="s">
        <v>168</v>
      </c>
      <c r="B170">
        <v>268566.59999999998</v>
      </c>
    </row>
    <row r="171" spans="1:2">
      <c r="A171" s="2" t="s">
        <v>169</v>
      </c>
      <c r="B171">
        <v>236599.8</v>
      </c>
    </row>
    <row r="172" spans="1:2">
      <c r="A172" s="2" t="s">
        <v>170</v>
      </c>
      <c r="B172">
        <v>240263.8</v>
      </c>
    </row>
    <row r="173" spans="1:2">
      <c r="A173" s="2" t="s">
        <v>171</v>
      </c>
      <c r="B173">
        <v>278341.5</v>
      </c>
    </row>
    <row r="174" spans="1:2">
      <c r="A174" s="2" t="s">
        <v>172</v>
      </c>
      <c r="B174">
        <v>282760.2</v>
      </c>
    </row>
    <row r="175" spans="1:2">
      <c r="A175" s="2" t="s">
        <v>173</v>
      </c>
      <c r="B175">
        <v>253965</v>
      </c>
    </row>
    <row r="176" spans="1:2">
      <c r="A176" s="2" t="s">
        <v>174</v>
      </c>
      <c r="B176">
        <v>295819.8</v>
      </c>
    </row>
    <row r="177" spans="1:2">
      <c r="A177" s="2" t="s">
        <v>175</v>
      </c>
      <c r="B177">
        <v>293684.7</v>
      </c>
    </row>
    <row r="178" spans="1:2">
      <c r="A178" s="2" t="s">
        <v>176</v>
      </c>
      <c r="B178">
        <v>47813.7019</v>
      </c>
    </row>
    <row r="179" spans="1:2">
      <c r="A179" s="2" t="s">
        <v>177</v>
      </c>
      <c r="B179">
        <v>44850.6</v>
      </c>
    </row>
    <row r="180" spans="1:2">
      <c r="A180" s="2" t="s">
        <v>178</v>
      </c>
      <c r="B180">
        <v>41863.1</v>
      </c>
    </row>
    <row r="181" spans="1:2">
      <c r="A181" s="2" t="s">
        <v>179</v>
      </c>
      <c r="B181">
        <v>41230.1</v>
      </c>
    </row>
    <row r="182" spans="1:2">
      <c r="A182" s="2" t="s">
        <v>180</v>
      </c>
      <c r="B182">
        <v>37061.4</v>
      </c>
    </row>
    <row r="183" spans="1:2">
      <c r="A183" s="2" t="s">
        <v>181</v>
      </c>
      <c r="B183">
        <v>35268.6</v>
      </c>
    </row>
    <row r="184" spans="1:2">
      <c r="A184" s="2" t="s">
        <v>182</v>
      </c>
      <c r="B184">
        <v>44957</v>
      </c>
    </row>
    <row r="185" spans="1:2">
      <c r="A185" s="2" t="s">
        <v>183</v>
      </c>
      <c r="B185">
        <v>45689.9</v>
      </c>
    </row>
    <row r="186" spans="1:2">
      <c r="A186" s="2" t="s">
        <v>184</v>
      </c>
      <c r="B186">
        <v>36754.300000000003</v>
      </c>
    </row>
    <row r="187" spans="1:2">
      <c r="A187" s="2" t="s">
        <v>185</v>
      </c>
      <c r="B187">
        <v>43388.4</v>
      </c>
    </row>
    <row r="188" spans="1:2">
      <c r="A188" s="2" t="s">
        <v>186</v>
      </c>
      <c r="B188">
        <v>46828</v>
      </c>
    </row>
    <row r="189" spans="1:2">
      <c r="A189" s="2" t="s">
        <v>187</v>
      </c>
      <c r="B189">
        <v>23355.7019</v>
      </c>
    </row>
    <row r="190" spans="1:2">
      <c r="A190" s="2" t="s">
        <v>188</v>
      </c>
      <c r="B190">
        <v>24550.2</v>
      </c>
    </row>
    <row r="191" spans="1:2">
      <c r="A191" s="2" t="s">
        <v>189</v>
      </c>
      <c r="B191">
        <v>25767.5</v>
      </c>
    </row>
    <row r="192" spans="1:2">
      <c r="A192" s="2" t="s">
        <v>190</v>
      </c>
      <c r="B192">
        <v>24986.400000000001</v>
      </c>
    </row>
    <row r="193" spans="1:2">
      <c r="A193" s="2" t="s">
        <v>191</v>
      </c>
      <c r="B193">
        <v>26303.8</v>
      </c>
    </row>
    <row r="194" spans="1:2">
      <c r="A194" s="2" t="s">
        <v>192</v>
      </c>
      <c r="B194">
        <v>31429.8</v>
      </c>
    </row>
    <row r="195" spans="1:2">
      <c r="A195" s="2" t="s">
        <v>193</v>
      </c>
      <c r="B195">
        <v>49665.4</v>
      </c>
    </row>
    <row r="196" spans="1:2">
      <c r="A196" s="2" t="s">
        <v>194</v>
      </c>
      <c r="B196">
        <v>47885.9</v>
      </c>
    </row>
    <row r="197" spans="1:2">
      <c r="A197" s="2" t="s">
        <v>195</v>
      </c>
      <c r="B197">
        <v>47191</v>
      </c>
    </row>
    <row r="198" spans="1:2">
      <c r="A198" s="2" t="s">
        <v>196</v>
      </c>
      <c r="B198">
        <v>55860.1</v>
      </c>
    </row>
    <row r="199" spans="1:2">
      <c r="A199" s="2" t="s">
        <v>197</v>
      </c>
      <c r="B199">
        <v>60395.8</v>
      </c>
    </row>
    <row r="200" spans="1:2">
      <c r="A200" s="2" t="s">
        <v>198</v>
      </c>
      <c r="B200">
        <v>117514.4019</v>
      </c>
    </row>
    <row r="201" spans="1:2">
      <c r="A201" s="2" t="s">
        <v>199</v>
      </c>
      <c r="B201">
        <v>132076.1</v>
      </c>
    </row>
    <row r="202" spans="1:2">
      <c r="A202" s="2" t="s">
        <v>200</v>
      </c>
      <c r="B202">
        <v>133161.70000000001</v>
      </c>
    </row>
    <row r="203" spans="1:2">
      <c r="A203" s="2" t="s">
        <v>201</v>
      </c>
      <c r="B203">
        <v>139039.4</v>
      </c>
    </row>
    <row r="204" spans="1:2">
      <c r="A204" s="2" t="s">
        <v>202</v>
      </c>
      <c r="B204">
        <v>141213.1</v>
      </c>
    </row>
    <row r="205" spans="1:2">
      <c r="A205" s="2" t="s">
        <v>203</v>
      </c>
      <c r="B205">
        <v>135128.79999999999</v>
      </c>
    </row>
    <row r="206" spans="1:2">
      <c r="A206" s="2" t="s">
        <v>204</v>
      </c>
      <c r="B206">
        <v>175617</v>
      </c>
    </row>
    <row r="207" spans="1:2">
      <c r="A207" s="2" t="s">
        <v>205</v>
      </c>
      <c r="B207">
        <v>172868.5</v>
      </c>
    </row>
    <row r="208" spans="1:2">
      <c r="A208" s="2" t="s">
        <v>206</v>
      </c>
      <c r="B208">
        <v>181945.4</v>
      </c>
    </row>
    <row r="209" spans="1:2">
      <c r="A209" s="2" t="s">
        <v>207</v>
      </c>
      <c r="B209">
        <v>214619.2</v>
      </c>
    </row>
    <row r="210" spans="1:2">
      <c r="A210" s="2" t="s">
        <v>208</v>
      </c>
      <c r="B210">
        <v>222535.3</v>
      </c>
    </row>
    <row r="211" spans="1:2">
      <c r="A211" s="2" t="s">
        <v>209</v>
      </c>
      <c r="B211">
        <v>235364.0019</v>
      </c>
    </row>
    <row r="212" spans="1:2">
      <c r="A212" s="2" t="s">
        <v>210</v>
      </c>
      <c r="B212">
        <v>265701.8</v>
      </c>
    </row>
    <row r="213" spans="1:2">
      <c r="A213" s="2" t="s">
        <v>211</v>
      </c>
      <c r="B213">
        <v>256454.8</v>
      </c>
    </row>
    <row r="214" spans="1:2">
      <c r="A214" s="2" t="s">
        <v>212</v>
      </c>
      <c r="B214">
        <v>247702.9</v>
      </c>
    </row>
    <row r="215" spans="1:2">
      <c r="A215" s="2" t="s">
        <v>213</v>
      </c>
      <c r="B215">
        <v>236591.6</v>
      </c>
    </row>
    <row r="216" spans="1:2">
      <c r="A216" s="2" t="s">
        <v>214</v>
      </c>
      <c r="B216">
        <v>254694</v>
      </c>
    </row>
    <row r="217" spans="1:2">
      <c r="A217" s="2" t="s">
        <v>215</v>
      </c>
      <c r="B217">
        <v>272612</v>
      </c>
    </row>
    <row r="218" spans="1:2">
      <c r="A218" s="2" t="s">
        <v>216</v>
      </c>
      <c r="B218">
        <v>275288.3</v>
      </c>
    </row>
    <row r="219" spans="1:2">
      <c r="A219" s="2" t="s">
        <v>217</v>
      </c>
      <c r="B219">
        <v>256721.7</v>
      </c>
    </row>
    <row r="220" spans="1:2">
      <c r="A220" s="2" t="s">
        <v>218</v>
      </c>
      <c r="B220">
        <v>279337.7</v>
      </c>
    </row>
    <row r="221" spans="1:2">
      <c r="A221" s="2" t="s">
        <v>219</v>
      </c>
      <c r="B221">
        <v>274491.40000000002</v>
      </c>
    </row>
    <row r="222" spans="1:2">
      <c r="A222" s="2" t="s">
        <v>220</v>
      </c>
      <c r="B222">
        <v>28748.001899999999</v>
      </c>
    </row>
    <row r="223" spans="1:2">
      <c r="A223" s="2" t="s">
        <v>221</v>
      </c>
      <c r="B223">
        <v>30837</v>
      </c>
    </row>
    <row r="224" spans="1:2">
      <c r="A224" s="2" t="s">
        <v>222</v>
      </c>
      <c r="B224">
        <v>34835</v>
      </c>
    </row>
    <row r="225" spans="1:4">
      <c r="A225" s="2" t="s">
        <v>223</v>
      </c>
      <c r="B225">
        <v>36641</v>
      </c>
    </row>
    <row r="226" spans="1:4">
      <c r="A226" s="2" t="s">
        <v>224</v>
      </c>
      <c r="B226">
        <v>33871</v>
      </c>
    </row>
    <row r="227" spans="1:4">
      <c r="A227" s="2" t="s">
        <v>225</v>
      </c>
      <c r="B227">
        <v>36445</v>
      </c>
    </row>
    <row r="228" spans="1:4">
      <c r="A228" s="2" t="s">
        <v>226</v>
      </c>
      <c r="B228">
        <v>40827</v>
      </c>
    </row>
    <row r="229" spans="1:4">
      <c r="A229" s="2" t="s">
        <v>227</v>
      </c>
      <c r="B229">
        <v>39431</v>
      </c>
    </row>
    <row r="230" spans="1:4">
      <c r="A230" s="2" t="s">
        <v>228</v>
      </c>
      <c r="B230">
        <v>32647</v>
      </c>
    </row>
    <row r="231" spans="1:4">
      <c r="A231" s="2" t="s">
        <v>229</v>
      </c>
      <c r="B231">
        <v>36242</v>
      </c>
    </row>
    <row r="232" spans="1:4">
      <c r="A232" s="2" t="s">
        <v>230</v>
      </c>
      <c r="B232">
        <v>37840</v>
      </c>
    </row>
    <row r="233" spans="1:4">
      <c r="A233" s="2" t="s">
        <v>231</v>
      </c>
      <c r="B233" s="4">
        <f>(19477*1000000*0.893435632183908)/1000000</f>
        <v>17401.445808045974</v>
      </c>
    </row>
    <row r="234" spans="1:4">
      <c r="A234" s="2" t="s">
        <v>232</v>
      </c>
      <c r="B234" s="4">
        <f>(16436*1000000*0.877024904214559)/1000000</f>
        <v>14414.781325670492</v>
      </c>
      <c r="D234" s="8"/>
    </row>
    <row r="235" spans="1:4">
      <c r="A235" s="2" t="s">
        <v>233</v>
      </c>
      <c r="B235" s="4">
        <f>(17262*1000000*0.845999233716476)/1000000</f>
        <v>14603.638772413809</v>
      </c>
    </row>
    <row r="236" spans="1:4">
      <c r="A236" s="2" t="s">
        <v>234</v>
      </c>
      <c r="B236" s="4">
        <f>(20037*1000000*0.951457307692308)/1000000</f>
        <v>19064.350074230773</v>
      </c>
      <c r="D236" s="8"/>
    </row>
    <row r="237" spans="1:4">
      <c r="A237" s="15" t="s">
        <v>235</v>
      </c>
      <c r="B237" s="3">
        <v>16463</v>
      </c>
    </row>
    <row r="238" spans="1:4">
      <c r="A238" s="15" t="s">
        <v>236</v>
      </c>
      <c r="B238" s="3">
        <v>15499</v>
      </c>
    </row>
    <row r="239" spans="1:4">
      <c r="A239" s="15" t="s">
        <v>237</v>
      </c>
      <c r="B239" s="3">
        <v>15165</v>
      </c>
    </row>
    <row r="240" spans="1:4">
      <c r="A240" s="15" t="s">
        <v>238</v>
      </c>
      <c r="B240" s="3">
        <v>16661</v>
      </c>
    </row>
    <row r="241" spans="1:2">
      <c r="A241" s="15" t="s">
        <v>278</v>
      </c>
      <c r="B241" s="20">
        <v>14435</v>
      </c>
    </row>
    <row r="242" spans="1:2">
      <c r="A242" s="15" t="s">
        <v>240</v>
      </c>
      <c r="B242" s="3">
        <v>14357</v>
      </c>
    </row>
    <row r="243" spans="1:2">
      <c r="A243" s="15" t="s">
        <v>241</v>
      </c>
      <c r="B243" s="3">
        <v>13066</v>
      </c>
    </row>
    <row r="244" spans="1:2">
      <c r="A244" s="15" t="s">
        <v>242</v>
      </c>
      <c r="B244" s="3">
        <v>15618</v>
      </c>
    </row>
    <row r="245" spans="1:2">
      <c r="A245" s="15" t="s">
        <v>243</v>
      </c>
      <c r="B245" s="3">
        <v>17489</v>
      </c>
    </row>
    <row r="246" spans="1:2">
      <c r="A246" s="2" t="s">
        <v>244</v>
      </c>
      <c r="B246" s="4">
        <v>14957</v>
      </c>
    </row>
    <row r="247" spans="1:2">
      <c r="A247" s="2" t="s">
        <v>245</v>
      </c>
      <c r="B247" s="4">
        <v>19121</v>
      </c>
    </row>
    <row r="248" spans="1:2">
      <c r="A248" s="2" t="s">
        <v>246</v>
      </c>
      <c r="B248">
        <v>24866</v>
      </c>
    </row>
    <row r="249" spans="1:2">
      <c r="A249" s="2" t="s">
        <v>247</v>
      </c>
      <c r="B249">
        <v>26487</v>
      </c>
    </row>
    <row r="250" spans="1:2">
      <c r="A250" s="2" t="s">
        <v>248</v>
      </c>
      <c r="B250">
        <v>25281</v>
      </c>
    </row>
    <row r="251" spans="1:2">
      <c r="A251" s="2" t="s">
        <v>249</v>
      </c>
      <c r="B251">
        <v>23554</v>
      </c>
    </row>
    <row r="252" spans="1:2">
      <c r="A252" s="2" t="s">
        <v>279</v>
      </c>
      <c r="B252" s="7">
        <v>22732</v>
      </c>
    </row>
    <row r="253" spans="1:2">
      <c r="A253" s="2" t="s">
        <v>251</v>
      </c>
      <c r="B253" s="4">
        <v>14639</v>
      </c>
    </row>
    <row r="254" spans="1:2">
      <c r="A254" s="2" t="s">
        <v>252</v>
      </c>
      <c r="B254" s="4">
        <v>16493</v>
      </c>
    </row>
    <row r="255" spans="1:2">
      <c r="A255" s="2" t="s">
        <v>253</v>
      </c>
      <c r="B255">
        <v>33566</v>
      </c>
    </row>
    <row r="256" spans="1:2">
      <c r="A256" s="2" t="s">
        <v>254</v>
      </c>
      <c r="B256">
        <v>44200</v>
      </c>
    </row>
    <row r="257" spans="1:3">
      <c r="A257" s="2" t="s">
        <v>255</v>
      </c>
      <c r="B257" s="8">
        <f>(2303943/1000000)*1000</f>
        <v>2303.9429999999998</v>
      </c>
      <c r="C257" s="8"/>
    </row>
    <row r="258" spans="1:3">
      <c r="A258" s="2" t="s">
        <v>256</v>
      </c>
      <c r="B258" s="8">
        <f>(3580364/1000000)*1000</f>
        <v>3580.364</v>
      </c>
    </row>
    <row r="259" spans="1:3">
      <c r="A259" s="2" t="s">
        <v>257</v>
      </c>
      <c r="B259" s="8">
        <f>(5276760/1000000)*1000</f>
        <v>5276.76</v>
      </c>
    </row>
    <row r="260" spans="1:3">
      <c r="A260" s="2" t="s">
        <v>258</v>
      </c>
      <c r="B260" s="8">
        <f>(7905799/1000000)*1000</f>
        <v>7905.799</v>
      </c>
    </row>
    <row r="261" spans="1:3">
      <c r="A261" s="2" t="s">
        <v>259</v>
      </c>
      <c r="B261" s="8">
        <f>(10247573/1000000)*1000</f>
        <v>10247.572999999999</v>
      </c>
    </row>
    <row r="262" spans="1:3">
      <c r="A262" s="2" t="s">
        <v>260</v>
      </c>
      <c r="B262" s="8">
        <f>(10161222/1000000)*1000</f>
        <v>10161.222</v>
      </c>
    </row>
    <row r="263" spans="1:3">
      <c r="A263" s="2" t="s">
        <v>280</v>
      </c>
      <c r="B263" s="8">
        <v>14876</v>
      </c>
    </row>
    <row r="264" spans="1:3">
      <c r="A264" s="2" t="s">
        <v>262</v>
      </c>
      <c r="B264" s="8">
        <v>15429</v>
      </c>
    </row>
    <row r="265" spans="1:3">
      <c r="A265" s="2" t="s">
        <v>263</v>
      </c>
      <c r="B265" s="8">
        <v>16410</v>
      </c>
    </row>
    <row r="266" spans="1:3">
      <c r="A266" s="2" t="s">
        <v>264</v>
      </c>
      <c r="B266" s="8">
        <v>19536</v>
      </c>
    </row>
    <row r="267" spans="1:3">
      <c r="A267" s="2" t="s">
        <v>265</v>
      </c>
      <c r="B267" s="8">
        <v>17931</v>
      </c>
    </row>
    <row r="268" spans="1:3">
      <c r="A268" s="2" t="s">
        <v>266</v>
      </c>
      <c r="B268" s="8">
        <v>13735</v>
      </c>
      <c r="C268" s="8">
        <v>13966</v>
      </c>
    </row>
    <row r="269" spans="1:3">
      <c r="A269" s="2" t="s">
        <v>267</v>
      </c>
      <c r="B269" s="8">
        <v>12825</v>
      </c>
    </row>
    <row r="270" spans="1:3">
      <c r="A270" s="2" t="s">
        <v>268</v>
      </c>
      <c r="B270" s="8">
        <v>12205</v>
      </c>
    </row>
    <row r="271" spans="1:3">
      <c r="A271" s="2" t="s">
        <v>269</v>
      </c>
      <c r="B271" s="8">
        <v>13045</v>
      </c>
    </row>
    <row r="272" spans="1:3">
      <c r="A272" s="2" t="s">
        <v>270</v>
      </c>
      <c r="B272" s="8">
        <v>13000</v>
      </c>
    </row>
    <row r="273" spans="1:2">
      <c r="A273" s="2" t="s">
        <v>271</v>
      </c>
      <c r="B273" s="8">
        <v>13370</v>
      </c>
    </row>
    <row r="274" spans="1:2">
      <c r="A274" s="2" t="s">
        <v>281</v>
      </c>
      <c r="B274" s="8">
        <v>15784</v>
      </c>
    </row>
    <row r="275" spans="1:2">
      <c r="A275" s="2" t="s">
        <v>273</v>
      </c>
      <c r="B275" s="8">
        <v>14383</v>
      </c>
    </row>
    <row r="276" spans="1:2">
      <c r="A276" s="2" t="s">
        <v>274</v>
      </c>
      <c r="B276" s="8">
        <v>14461</v>
      </c>
    </row>
    <row r="277" spans="1:2">
      <c r="A277" s="2" t="s">
        <v>275</v>
      </c>
      <c r="B277" s="8">
        <v>18344</v>
      </c>
    </row>
    <row r="278" spans="1:2">
      <c r="A278" s="2" t="s">
        <v>276</v>
      </c>
      <c r="B278" s="8">
        <v>20028</v>
      </c>
    </row>
  </sheetData>
  <phoneticPr fontId="2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AE8B-4FC6-48B3-99A2-7FC08F4147C7}">
  <sheetPr codeName="Hoja14">
    <tabColor rgb="FFEE0000"/>
  </sheetPr>
  <dimension ref="A1:C278"/>
  <sheetViews>
    <sheetView topLeftCell="A259" zoomScale="115" zoomScaleNormal="115" workbookViewId="0">
      <selection activeCell="E272" sqref="E272"/>
    </sheetView>
  </sheetViews>
  <sheetFormatPr baseColWidth="10" defaultRowHeight="14.4"/>
  <cols>
    <col min="1" max="1" width="24.33203125" bestFit="1" customWidth="1"/>
    <col min="2" max="2" width="12" bestFit="1" customWidth="1"/>
    <col min="4" max="4" width="12.66406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42.88*1000000000/1000000</f>
        <v>42880</v>
      </c>
    </row>
    <row r="3" spans="1:2">
      <c r="A3" s="2" t="s">
        <v>1</v>
      </c>
      <c r="B3">
        <f>61.55*1000000000/1000000</f>
        <v>61550</v>
      </c>
    </row>
    <row r="4" spans="1:2">
      <c r="A4" s="2" t="s">
        <v>2</v>
      </c>
      <c r="B4">
        <f>75.5*1000000000/1000000</f>
        <v>75500</v>
      </c>
    </row>
    <row r="5" spans="1:2">
      <c r="A5" s="2" t="s">
        <v>3</v>
      </c>
      <c r="B5">
        <f>70.22*1000000000/1000000</f>
        <v>70220</v>
      </c>
    </row>
    <row r="6" spans="1:2">
      <c r="A6" s="2" t="s">
        <v>4</v>
      </c>
      <c r="B6">
        <f>68.9*1000000000/1000000</f>
        <v>68900</v>
      </c>
    </row>
    <row r="7" spans="1:2">
      <c r="A7" s="2" t="s">
        <v>5</v>
      </c>
      <c r="B7">
        <f>60.71*1000000000/1000000</f>
        <v>60710</v>
      </c>
    </row>
    <row r="8" spans="1:2">
      <c r="A8" s="2" t="s">
        <v>277</v>
      </c>
      <c r="B8">
        <f>52.67*1000000000/1000000</f>
        <v>52670</v>
      </c>
    </row>
    <row r="9" spans="1:2">
      <c r="A9" s="2" t="s">
        <v>7</v>
      </c>
      <c r="B9">
        <f>52.83*1000000000/1000000</f>
        <v>52830</v>
      </c>
    </row>
    <row r="10" spans="1:2">
      <c r="A10" s="2" t="s">
        <v>8</v>
      </c>
      <c r="B10">
        <f>57.39*1000000000/1000000</f>
        <v>57390</v>
      </c>
    </row>
    <row r="11" spans="1:2">
      <c r="A11" s="2" t="s">
        <v>9</v>
      </c>
      <c r="B11">
        <f>65.11*1000000000/1000000</f>
        <v>65110</v>
      </c>
    </row>
    <row r="12" spans="1:2">
      <c r="A12" s="2" t="s">
        <v>10</v>
      </c>
      <c r="B12">
        <f>58.6*1000000000/1000000</f>
        <v>58600</v>
      </c>
    </row>
    <row r="13" spans="1:2">
      <c r="A13" s="2" t="s">
        <v>11</v>
      </c>
      <c r="B13">
        <v>12398.887162000001</v>
      </c>
    </row>
    <row r="14" spans="1:2">
      <c r="A14" s="2" t="s">
        <v>12</v>
      </c>
      <c r="B14">
        <v>23400.644658000001</v>
      </c>
    </row>
    <row r="15" spans="1:2">
      <c r="A15" s="2" t="s">
        <v>13</v>
      </c>
      <c r="B15">
        <v>44420</v>
      </c>
    </row>
    <row r="16" spans="1:2">
      <c r="A16" s="2" t="s">
        <v>14</v>
      </c>
      <c r="B16">
        <v>41777.170126999998</v>
      </c>
    </row>
    <row r="17" spans="1:2">
      <c r="A17" s="2" t="s">
        <v>15</v>
      </c>
      <c r="B17">
        <v>48077.311229999999</v>
      </c>
    </row>
    <row r="18" spans="1:2">
      <c r="A18" s="2" t="s">
        <v>16</v>
      </c>
      <c r="B18">
        <v>38348.026254999997</v>
      </c>
    </row>
    <row r="19" spans="1:2">
      <c r="A19" s="2" t="s">
        <v>17</v>
      </c>
      <c r="B19">
        <v>27564.402571999999</v>
      </c>
    </row>
    <row r="20" spans="1:2">
      <c r="A20" s="2" t="s">
        <v>18</v>
      </c>
      <c r="B20">
        <v>25626.747334</v>
      </c>
    </row>
    <row r="21" spans="1:2">
      <c r="A21" s="2" t="s">
        <v>19</v>
      </c>
      <c r="B21">
        <v>29890.911177000002</v>
      </c>
    </row>
    <row r="22" spans="1:2">
      <c r="A22" s="2" t="s">
        <v>20</v>
      </c>
      <c r="B22">
        <v>21028.585352999999</v>
      </c>
    </row>
    <row r="23" spans="1:2">
      <c r="A23" s="2" t="s">
        <v>21</v>
      </c>
      <c r="B23">
        <v>11940.357185000001</v>
      </c>
    </row>
    <row r="24" spans="1:2">
      <c r="A24" s="2" t="s">
        <v>22</v>
      </c>
      <c r="B24">
        <v>22049.287199999999</v>
      </c>
    </row>
    <row r="25" spans="1:2">
      <c r="A25" s="2" t="s">
        <v>23</v>
      </c>
      <c r="B25">
        <v>27853.850398999999</v>
      </c>
    </row>
    <row r="26" spans="1:2">
      <c r="A26" s="2" t="s">
        <v>24</v>
      </c>
      <c r="B26">
        <v>42182.74368</v>
      </c>
    </row>
    <row r="27" spans="1:2">
      <c r="A27" s="2" t="s">
        <v>25</v>
      </c>
      <c r="B27">
        <v>37196.00632</v>
      </c>
    </row>
    <row r="28" spans="1:2">
      <c r="A28" s="2" t="s">
        <v>26</v>
      </c>
      <c r="B28">
        <v>37953.146399999998</v>
      </c>
    </row>
    <row r="29" spans="1:2">
      <c r="A29" s="2" t="s">
        <v>27</v>
      </c>
      <c r="B29">
        <v>34110.514560000003</v>
      </c>
    </row>
    <row r="30" spans="1:2">
      <c r="A30" s="2" t="s">
        <v>28</v>
      </c>
      <c r="B30">
        <v>34989.907520000001</v>
      </c>
    </row>
    <row r="31" spans="1:2">
      <c r="A31" s="2" t="s">
        <v>29</v>
      </c>
      <c r="B31">
        <v>35024.169199999997</v>
      </c>
    </row>
    <row r="32" spans="1:2">
      <c r="A32" s="2" t="s">
        <v>30</v>
      </c>
      <c r="B32">
        <v>46306.171439999998</v>
      </c>
    </row>
    <row r="33" spans="1:2">
      <c r="A33" s="2" t="s">
        <v>31</v>
      </c>
      <c r="B33">
        <v>63460.402055999999</v>
      </c>
    </row>
    <row r="34" spans="1:2">
      <c r="A34" s="2" t="s">
        <v>32</v>
      </c>
      <c r="B34">
        <v>36902.873599999999</v>
      </c>
    </row>
    <row r="35" spans="1:2">
      <c r="A35" s="2" t="s">
        <v>33</v>
      </c>
      <c r="B35">
        <v>40888</v>
      </c>
    </row>
    <row r="36" spans="1:2">
      <c r="A36" s="2" t="s">
        <v>34</v>
      </c>
      <c r="B36">
        <v>50802.85</v>
      </c>
    </row>
    <row r="37" spans="1:2">
      <c r="A37" s="2" t="s">
        <v>35</v>
      </c>
      <c r="B37">
        <v>60886.78</v>
      </c>
    </row>
    <row r="38" spans="1:2">
      <c r="A38" s="2" t="s">
        <v>36</v>
      </c>
      <c r="B38">
        <v>61426.5</v>
      </c>
    </row>
    <row r="39" spans="1:2">
      <c r="A39" s="2" t="s">
        <v>37</v>
      </c>
      <c r="B39">
        <v>55937.3</v>
      </c>
    </row>
    <row r="40" spans="1:2">
      <c r="A40" s="2" t="s">
        <v>38</v>
      </c>
      <c r="B40">
        <v>47661.723739000001</v>
      </c>
    </row>
    <row r="41" spans="1:2">
      <c r="A41" s="2" t="s">
        <v>39</v>
      </c>
      <c r="B41">
        <v>30393.45</v>
      </c>
    </row>
    <row r="42" spans="1:2">
      <c r="A42" s="2" t="s">
        <v>40</v>
      </c>
      <c r="B42">
        <v>36855.9</v>
      </c>
    </row>
    <row r="43" spans="1:2">
      <c r="A43" s="2" t="s">
        <v>41</v>
      </c>
      <c r="B43">
        <v>34984.199999999997</v>
      </c>
    </row>
    <row r="44" spans="1:2">
      <c r="A44" s="2" t="s">
        <v>42</v>
      </c>
      <c r="B44">
        <v>83246.16</v>
      </c>
    </row>
    <row r="45" spans="1:2">
      <c r="A45" s="2" t="s">
        <v>43</v>
      </c>
      <c r="B45">
        <v>46566.52</v>
      </c>
    </row>
    <row r="46" spans="1:2">
      <c r="A46" s="2" t="s">
        <v>44</v>
      </c>
      <c r="B46">
        <v>31864.44</v>
      </c>
    </row>
    <row r="47" spans="1:2">
      <c r="A47" s="2" t="s">
        <v>45</v>
      </c>
      <c r="B47">
        <v>39554.76</v>
      </c>
    </row>
    <row r="48" spans="1:2">
      <c r="A48" s="2" t="s">
        <v>46</v>
      </c>
      <c r="B48">
        <v>64860.689999000002</v>
      </c>
    </row>
    <row r="49" spans="1:2">
      <c r="A49" s="2" t="s">
        <v>47</v>
      </c>
      <c r="B49">
        <v>56449.469999000001</v>
      </c>
    </row>
    <row r="50" spans="1:2">
      <c r="A50" s="2" t="s">
        <v>48</v>
      </c>
      <c r="B50">
        <v>52579.46</v>
      </c>
    </row>
    <row r="51" spans="1:2">
      <c r="A51" s="2" t="s">
        <v>49</v>
      </c>
      <c r="B51">
        <v>52434.2</v>
      </c>
    </row>
    <row r="52" spans="1:2">
      <c r="A52" s="2" t="s">
        <v>50</v>
      </c>
      <c r="B52">
        <v>47398.65</v>
      </c>
    </row>
    <row r="53" spans="1:2">
      <c r="A53" s="2" t="s">
        <v>51</v>
      </c>
      <c r="B53">
        <v>52447.8</v>
      </c>
    </row>
    <row r="54" spans="1:2">
      <c r="A54" s="2" t="s">
        <v>52</v>
      </c>
      <c r="B54">
        <v>60253.08</v>
      </c>
    </row>
    <row r="55" spans="1:2">
      <c r="A55" s="2" t="s">
        <v>53</v>
      </c>
      <c r="B55">
        <v>85482.54</v>
      </c>
    </row>
    <row r="56" spans="1:2">
      <c r="A56" s="2" t="s">
        <v>54</v>
      </c>
      <c r="B56">
        <v>47096</v>
      </c>
    </row>
    <row r="57" spans="1:2">
      <c r="A57" s="2" t="s">
        <v>55</v>
      </c>
      <c r="B57">
        <v>1824653.4921599999</v>
      </c>
    </row>
    <row r="58" spans="1:2">
      <c r="A58" s="2" t="s">
        <v>56</v>
      </c>
      <c r="B58">
        <v>2374884.6156000001</v>
      </c>
    </row>
    <row r="59" spans="1:2">
      <c r="A59" s="2" t="s">
        <v>57</v>
      </c>
      <c r="B59">
        <v>3845786.9120280002</v>
      </c>
    </row>
    <row r="60" spans="1:2">
      <c r="A60" s="2" t="s">
        <v>58</v>
      </c>
      <c r="B60">
        <v>4351355.4790390003</v>
      </c>
    </row>
    <row r="61" spans="1:2">
      <c r="A61" s="2" t="s">
        <v>59</v>
      </c>
      <c r="B61">
        <v>3340150.8775289999</v>
      </c>
    </row>
    <row r="62" spans="1:2">
      <c r="A62" s="2" t="s">
        <v>60</v>
      </c>
      <c r="B62">
        <v>3053515.1750960001</v>
      </c>
    </row>
    <row r="63" spans="1:2">
      <c r="A63" s="2" t="s">
        <v>61</v>
      </c>
      <c r="B63">
        <v>2834571.3501459998</v>
      </c>
    </row>
    <row r="64" spans="1:2">
      <c r="A64" s="2" t="s">
        <v>62</v>
      </c>
      <c r="B64">
        <v>4467405.0498869997</v>
      </c>
    </row>
    <row r="65" spans="1:3">
      <c r="A65" s="2" t="s">
        <v>63</v>
      </c>
      <c r="B65">
        <v>3931679.8958160002</v>
      </c>
    </row>
    <row r="66" spans="1:3">
      <c r="A66" s="2" t="s">
        <v>64</v>
      </c>
      <c r="B66">
        <v>6028533.7404180001</v>
      </c>
    </row>
    <row r="67" spans="1:3">
      <c r="A67" s="2" t="s">
        <v>65</v>
      </c>
      <c r="B67">
        <v>6290454.5178500004</v>
      </c>
    </row>
    <row r="68" spans="1:3">
      <c r="A68" s="2" t="s">
        <v>66</v>
      </c>
      <c r="B68">
        <v>40082.978000000003</v>
      </c>
    </row>
    <row r="69" spans="1:3">
      <c r="A69" s="2" t="s">
        <v>67</v>
      </c>
      <c r="B69">
        <v>47478.036</v>
      </c>
    </row>
    <row r="70" spans="1:3">
      <c r="A70" s="2" t="s">
        <v>68</v>
      </c>
      <c r="B70">
        <v>68278.450998999993</v>
      </c>
    </row>
    <row r="71" spans="1:3">
      <c r="A71" s="2" t="s">
        <v>69</v>
      </c>
      <c r="B71">
        <v>74562.894</v>
      </c>
    </row>
    <row r="72" spans="1:3">
      <c r="A72" s="2" t="s">
        <v>70</v>
      </c>
      <c r="B72">
        <v>75714.94</v>
      </c>
    </row>
    <row r="73" spans="1:3">
      <c r="A73" s="2" t="s">
        <v>71</v>
      </c>
      <c r="B73">
        <v>84565.407999999996</v>
      </c>
    </row>
    <row r="74" spans="1:3">
      <c r="A74" s="2" t="s">
        <v>72</v>
      </c>
      <c r="B74">
        <v>96407.964000000007</v>
      </c>
    </row>
    <row r="75" spans="1:3">
      <c r="A75" s="2" t="s">
        <v>73</v>
      </c>
      <c r="B75">
        <v>125599.2</v>
      </c>
    </row>
    <row r="76" spans="1:3">
      <c r="A76" s="2" t="s">
        <v>74</v>
      </c>
      <c r="B76">
        <v>148081.74</v>
      </c>
    </row>
    <row r="77" spans="1:3">
      <c r="A77" s="2" t="s">
        <v>75</v>
      </c>
      <c r="B77">
        <v>142766.79699999999</v>
      </c>
    </row>
    <row r="78" spans="1:3">
      <c r="A78" s="2" t="s">
        <v>76</v>
      </c>
      <c r="B78">
        <v>143709.57999999999</v>
      </c>
      <c r="C78">
        <f>B78</f>
        <v>143709.57999999999</v>
      </c>
    </row>
    <row r="79" spans="1:3" ht="15">
      <c r="A79" s="2" t="s">
        <v>77</v>
      </c>
      <c r="B79" s="13">
        <f>22.91*1000</f>
        <v>22910</v>
      </c>
    </row>
    <row r="80" spans="1:3" ht="15">
      <c r="A80" s="2" t="s">
        <v>78</v>
      </c>
      <c r="B80" s="13">
        <f>22.04*1000</f>
        <v>22040</v>
      </c>
    </row>
    <row r="81" spans="1:2" ht="15">
      <c r="A81" s="2" t="s">
        <v>79</v>
      </c>
      <c r="B81" s="13">
        <f>21.54*1000</f>
        <v>21540</v>
      </c>
    </row>
    <row r="82" spans="1:2" ht="15">
      <c r="A82" s="2" t="s">
        <v>80</v>
      </c>
      <c r="B82" s="13">
        <f>19.29*1000</f>
        <v>19290</v>
      </c>
    </row>
    <row r="83" spans="1:2" ht="15">
      <c r="A83" s="2" t="s">
        <v>81</v>
      </c>
      <c r="B83" s="13">
        <f>17.94*1000</f>
        <v>17940</v>
      </c>
    </row>
    <row r="84" spans="1:2" ht="15">
      <c r="A84" s="2" t="s">
        <v>82</v>
      </c>
      <c r="B84" s="13">
        <f>13.05*1000</f>
        <v>13050</v>
      </c>
    </row>
    <row r="85" spans="1:2" ht="15">
      <c r="A85" s="2" t="s">
        <v>83</v>
      </c>
      <c r="B85" s="13">
        <f>12.1*1000</f>
        <v>12100</v>
      </c>
    </row>
    <row r="86" spans="1:2" ht="15">
      <c r="A86" s="2" t="s">
        <v>84</v>
      </c>
      <c r="B86" s="13">
        <f>15.35*1000</f>
        <v>15350</v>
      </c>
    </row>
    <row r="87" spans="1:2" ht="15">
      <c r="A87" s="2" t="s">
        <v>85</v>
      </c>
      <c r="B87" s="13">
        <f>23.02*1000</f>
        <v>23020</v>
      </c>
    </row>
    <row r="88" spans="1:2" ht="15">
      <c r="A88" s="2" t="s">
        <v>86</v>
      </c>
      <c r="B88" s="13">
        <f>27.72*1000</f>
        <v>27720</v>
      </c>
    </row>
    <row r="89" spans="1:2" ht="15">
      <c r="A89" s="2" t="s">
        <v>87</v>
      </c>
      <c r="B89" s="13">
        <f>18.74*1000</f>
        <v>18740</v>
      </c>
    </row>
    <row r="90" spans="1:2" ht="15">
      <c r="A90" s="2" t="s">
        <v>88</v>
      </c>
      <c r="B90" s="13">
        <f>2.47*1000</f>
        <v>2470</v>
      </c>
    </row>
    <row r="91" spans="1:2" ht="15">
      <c r="A91" s="2" t="s">
        <v>89</v>
      </c>
      <c r="B91" s="13">
        <f>8.29*1000</f>
        <v>8290</v>
      </c>
    </row>
    <row r="92" spans="1:2" ht="15">
      <c r="A92" s="2" t="s">
        <v>90</v>
      </c>
      <c r="B92" s="13">
        <f>7.5*1000</f>
        <v>7500</v>
      </c>
    </row>
    <row r="93" spans="1:2" ht="15">
      <c r="A93" s="2" t="s">
        <v>91</v>
      </c>
      <c r="B93" s="13">
        <f>6.9*1000</f>
        <v>6900</v>
      </c>
    </row>
    <row r="94" spans="1:2" ht="15">
      <c r="A94" s="2" t="s">
        <v>92</v>
      </c>
      <c r="B94" s="13">
        <f>6.11*1000</f>
        <v>6110</v>
      </c>
    </row>
    <row r="95" spans="1:2" ht="15">
      <c r="A95" s="2" t="s">
        <v>93</v>
      </c>
      <c r="B95" s="13">
        <f>5.74*1000</f>
        <v>5740</v>
      </c>
    </row>
    <row r="96" spans="1:2" ht="15">
      <c r="A96" s="2" t="s">
        <v>94</v>
      </c>
      <c r="B96" s="13">
        <f>7.42*1000</f>
        <v>7420</v>
      </c>
    </row>
    <row r="97" spans="1:2" ht="15">
      <c r="A97" s="2" t="s">
        <v>95</v>
      </c>
      <c r="B97" s="13">
        <f>8.97*1000</f>
        <v>8970</v>
      </c>
    </row>
    <row r="98" spans="1:2" ht="15">
      <c r="A98" s="2" t="s">
        <v>96</v>
      </c>
      <c r="B98" s="13">
        <f>17.42*1000</f>
        <v>17420</v>
      </c>
    </row>
    <row r="99" spans="1:2" ht="15">
      <c r="A99" s="2" t="s">
        <v>97</v>
      </c>
      <c r="B99" s="13">
        <f>14.72 *1000</f>
        <v>14720</v>
      </c>
    </row>
    <row r="100" spans="1:2" ht="15">
      <c r="A100" s="2" t="s">
        <v>98</v>
      </c>
      <c r="B100" s="13">
        <f>11.82*1000</f>
        <v>11820</v>
      </c>
    </row>
    <row r="101" spans="1:2">
      <c r="A101" s="2" t="s">
        <v>99</v>
      </c>
      <c r="B101">
        <v>18577.088725000001</v>
      </c>
    </row>
    <row r="102" spans="1:2">
      <c r="A102" s="2" t="s">
        <v>100</v>
      </c>
      <c r="B102">
        <v>19998.002533999999</v>
      </c>
    </row>
    <row r="103" spans="1:2">
      <c r="A103" s="2" t="s">
        <v>101</v>
      </c>
      <c r="B103">
        <v>17600.735955</v>
      </c>
    </row>
    <row r="104" spans="1:2">
      <c r="A104" s="2" t="s">
        <v>102</v>
      </c>
      <c r="B104">
        <v>18313.63983</v>
      </c>
    </row>
    <row r="105" spans="1:2">
      <c r="A105" s="2" t="s">
        <v>103</v>
      </c>
      <c r="B105">
        <v>22001.289205000001</v>
      </c>
    </row>
    <row r="106" spans="1:2">
      <c r="A106" s="2" t="s">
        <v>104</v>
      </c>
      <c r="B106">
        <v>19662.388060000001</v>
      </c>
    </row>
    <row r="107" spans="1:2">
      <c r="A107" s="2" t="s">
        <v>105</v>
      </c>
      <c r="B107">
        <v>15586.884717999999</v>
      </c>
    </row>
    <row r="108" spans="1:2">
      <c r="A108" s="2" t="s">
        <v>106</v>
      </c>
      <c r="B108">
        <v>11315.008995</v>
      </c>
    </row>
    <row r="109" spans="1:2">
      <c r="A109" s="2" t="s">
        <v>107</v>
      </c>
      <c r="B109">
        <v>10555.750776999999</v>
      </c>
    </row>
    <row r="110" spans="1:2">
      <c r="A110" s="2" t="s">
        <v>108</v>
      </c>
      <c r="B110">
        <v>18847.365675000001</v>
      </c>
    </row>
    <row r="111" spans="1:2">
      <c r="A111" s="2" t="s">
        <v>109</v>
      </c>
      <c r="B111">
        <v>12295.438521</v>
      </c>
    </row>
    <row r="112" spans="1:2">
      <c r="A112" s="2" t="s">
        <v>110</v>
      </c>
      <c r="B112">
        <v>19399.16388</v>
      </c>
    </row>
    <row r="113" spans="1:2">
      <c r="A113" s="2" t="s">
        <v>111</v>
      </c>
      <c r="B113">
        <v>14031.917952</v>
      </c>
    </row>
    <row r="114" spans="1:2">
      <c r="A114" s="2" t="s">
        <v>112</v>
      </c>
      <c r="B114">
        <v>26954.227895</v>
      </c>
    </row>
    <row r="115" spans="1:2">
      <c r="A115" s="2" t="s">
        <v>113</v>
      </c>
      <c r="B115">
        <v>27208.513063999999</v>
      </c>
    </row>
    <row r="116" spans="1:2">
      <c r="A116" s="2" t="s">
        <v>114</v>
      </c>
      <c r="B116">
        <v>23514.971974</v>
      </c>
    </row>
    <row r="117" spans="1:2">
      <c r="A117" s="2" t="s">
        <v>115</v>
      </c>
      <c r="B117">
        <v>23581.099364999998</v>
      </c>
    </row>
    <row r="118" spans="1:2">
      <c r="A118" s="2" t="s">
        <v>116</v>
      </c>
      <c r="B118">
        <v>20967.993721999999</v>
      </c>
    </row>
    <row r="119" spans="1:2">
      <c r="A119" s="2" t="s">
        <v>117</v>
      </c>
      <c r="B119">
        <v>21950.980906000001</v>
      </c>
    </row>
    <row r="120" spans="1:2">
      <c r="A120" s="2" t="s">
        <v>118</v>
      </c>
      <c r="B120">
        <v>27391.756119000001</v>
      </c>
    </row>
    <row r="121" spans="1:2">
      <c r="A121" s="2" t="s">
        <v>119</v>
      </c>
      <c r="B121">
        <v>25646.527077999999</v>
      </c>
    </row>
    <row r="122" spans="1:2">
      <c r="A122" s="2" t="s">
        <v>120</v>
      </c>
      <c r="B122">
        <v>19395.308333000001</v>
      </c>
    </row>
    <row r="123" spans="1:2">
      <c r="A123" s="2" t="s">
        <v>121</v>
      </c>
      <c r="B123">
        <v>108685.27</v>
      </c>
    </row>
    <row r="124" spans="1:2">
      <c r="A124" s="2" t="s">
        <v>122</v>
      </c>
      <c r="B124">
        <v>176544.9</v>
      </c>
    </row>
    <row r="125" spans="1:2">
      <c r="A125" s="2" t="s">
        <v>123</v>
      </c>
      <c r="B125">
        <v>179960</v>
      </c>
    </row>
    <row r="126" spans="1:2">
      <c r="A126" s="2" t="s">
        <v>124</v>
      </c>
      <c r="B126">
        <v>144059.29999999999</v>
      </c>
    </row>
    <row r="127" spans="1:2">
      <c r="A127" s="2" t="s">
        <v>125</v>
      </c>
      <c r="B127">
        <v>132545.82500000001</v>
      </c>
    </row>
    <row r="128" spans="1:2">
      <c r="A128" s="2" t="s">
        <v>126</v>
      </c>
      <c r="B128">
        <v>154308.75</v>
      </c>
    </row>
    <row r="129" spans="1:2">
      <c r="A129" s="2" t="s">
        <v>127</v>
      </c>
      <c r="B129">
        <v>263864.40860000002</v>
      </c>
    </row>
    <row r="130" spans="1:2">
      <c r="A130" s="2" t="s">
        <v>128</v>
      </c>
      <c r="B130">
        <v>263864.38871000003</v>
      </c>
    </row>
    <row r="131" spans="1:2">
      <c r="A131" s="2" t="s">
        <v>129</v>
      </c>
      <c r="B131">
        <v>263864.38871000003</v>
      </c>
    </row>
    <row r="132" spans="1:2">
      <c r="A132" s="2" t="s">
        <v>130</v>
      </c>
      <c r="B132">
        <v>392062.89651300001</v>
      </c>
    </row>
    <row r="133" spans="1:2">
      <c r="A133" s="2" t="s">
        <v>131</v>
      </c>
      <c r="B133">
        <v>275782.37154999998</v>
      </c>
    </row>
    <row r="134" spans="1:2">
      <c r="A134" s="2" t="s">
        <v>132</v>
      </c>
      <c r="B134">
        <v>18114.637050000001</v>
      </c>
    </row>
    <row r="135" spans="1:2">
      <c r="A135" s="2" t="s">
        <v>133</v>
      </c>
      <c r="B135">
        <v>11240.2528</v>
      </c>
    </row>
    <row r="136" spans="1:2">
      <c r="A136" s="2" t="s">
        <v>134</v>
      </c>
      <c r="B136">
        <v>17951.171999999999</v>
      </c>
    </row>
    <row r="137" spans="1:2">
      <c r="A137" s="2" t="s">
        <v>135</v>
      </c>
      <c r="B137">
        <v>22421.216400000001</v>
      </c>
    </row>
    <row r="138" spans="1:2">
      <c r="A138" s="2" t="s">
        <v>136</v>
      </c>
      <c r="B138">
        <v>31027.340400000001</v>
      </c>
    </row>
    <row r="139" spans="1:2">
      <c r="A139" s="2" t="s">
        <v>137</v>
      </c>
      <c r="B139">
        <v>35405.355150000003</v>
      </c>
    </row>
    <row r="140" spans="1:2">
      <c r="A140" s="2" t="s">
        <v>138</v>
      </c>
      <c r="B140">
        <v>61304.436900000001</v>
      </c>
    </row>
    <row r="141" spans="1:2">
      <c r="A141" s="2" t="s">
        <v>139</v>
      </c>
      <c r="B141">
        <v>83460.14</v>
      </c>
    </row>
    <row r="142" spans="1:2">
      <c r="A142" s="2" t="s">
        <v>140</v>
      </c>
      <c r="B142">
        <v>124874.87820000001</v>
      </c>
    </row>
    <row r="143" spans="1:2">
      <c r="A143" s="2" t="s">
        <v>141</v>
      </c>
      <c r="B143">
        <v>156699.2176</v>
      </c>
    </row>
    <row r="144" spans="1:2">
      <c r="A144" s="2" t="s">
        <v>142</v>
      </c>
      <c r="B144">
        <v>94252.245500000005</v>
      </c>
    </row>
    <row r="145" spans="1:2">
      <c r="A145" s="2" t="s">
        <v>143</v>
      </c>
      <c r="B145">
        <v>4973.5928590000003</v>
      </c>
    </row>
    <row r="146" spans="1:2">
      <c r="A146" s="2" t="s">
        <v>144</v>
      </c>
      <c r="B146">
        <v>6987.18</v>
      </c>
    </row>
    <row r="147" spans="1:2">
      <c r="A147" s="2" t="s">
        <v>145</v>
      </c>
      <c r="B147">
        <v>12415.42461</v>
      </c>
    </row>
    <row r="148" spans="1:2">
      <c r="A148" s="2" t="s">
        <v>146</v>
      </c>
      <c r="B148">
        <v>9565.9957140000006</v>
      </c>
    </row>
    <row r="149" spans="1:2">
      <c r="A149" s="2" t="s">
        <v>147</v>
      </c>
      <c r="B149">
        <v>14159.131413999999</v>
      </c>
    </row>
    <row r="150" spans="1:2">
      <c r="A150" s="2" t="s">
        <v>148</v>
      </c>
      <c r="B150">
        <v>14489.536470999999</v>
      </c>
    </row>
    <row r="151" spans="1:2">
      <c r="A151" s="2" t="s">
        <v>149</v>
      </c>
      <c r="B151">
        <v>16433.678178999999</v>
      </c>
    </row>
    <row r="152" spans="1:2">
      <c r="A152" s="2" t="s">
        <v>150</v>
      </c>
      <c r="B152">
        <v>18112.250339999999</v>
      </c>
    </row>
    <row r="153" spans="1:2">
      <c r="A153" s="2" t="s">
        <v>151</v>
      </c>
      <c r="B153">
        <v>75019.280773000006</v>
      </c>
    </row>
    <row r="154" spans="1:2">
      <c r="A154" s="2" t="s">
        <v>152</v>
      </c>
      <c r="B154">
        <v>98251.071356</v>
      </c>
    </row>
    <row r="155" spans="1:2">
      <c r="A155" s="2" t="s">
        <v>153</v>
      </c>
      <c r="B155">
        <v>71391.374087000004</v>
      </c>
    </row>
    <row r="156" spans="1:2">
      <c r="A156" s="2" t="s">
        <v>154</v>
      </c>
      <c r="B156">
        <v>190738.74849999999</v>
      </c>
    </row>
    <row r="157" spans="1:2">
      <c r="A157" s="2" t="s">
        <v>155</v>
      </c>
      <c r="B157">
        <v>3888.7333760000001</v>
      </c>
    </row>
    <row r="158" spans="1:2">
      <c r="A158" s="2" t="s">
        <v>156</v>
      </c>
      <c r="B158">
        <v>18576.512849999999</v>
      </c>
    </row>
    <row r="159" spans="1:2">
      <c r="A159" s="2" t="s">
        <v>157</v>
      </c>
      <c r="B159">
        <v>28016.91015</v>
      </c>
    </row>
    <row r="160" spans="1:2">
      <c r="A160" s="2" t="s">
        <v>158</v>
      </c>
      <c r="B160">
        <v>31842.240000000002</v>
      </c>
    </row>
    <row r="161" spans="1:2">
      <c r="A161" s="2" t="s">
        <v>159</v>
      </c>
      <c r="B161">
        <v>33136.379999999997</v>
      </c>
    </row>
    <row r="162" spans="1:2">
      <c r="A162" s="2" t="s">
        <v>160</v>
      </c>
      <c r="B162">
        <v>57583.05</v>
      </c>
    </row>
    <row r="163" spans="1:2">
      <c r="A163" s="2" t="s">
        <v>161</v>
      </c>
      <c r="B163">
        <v>76558.05</v>
      </c>
    </row>
    <row r="164" spans="1:2">
      <c r="A164" s="2" t="s">
        <v>162</v>
      </c>
      <c r="B164">
        <v>678139.26</v>
      </c>
    </row>
    <row r="165" spans="1:2">
      <c r="A165" s="2" t="s">
        <v>163</v>
      </c>
      <c r="B165">
        <v>1093062.78</v>
      </c>
    </row>
    <row r="166" spans="1:2">
      <c r="A166" s="2" t="s">
        <v>164</v>
      </c>
      <c r="B166">
        <v>389248.8</v>
      </c>
    </row>
    <row r="167" spans="1:2">
      <c r="A167" s="2" t="s">
        <v>165</v>
      </c>
      <c r="B167">
        <v>62104.2</v>
      </c>
    </row>
    <row r="168" spans="1:2">
      <c r="A168" s="2" t="s">
        <v>166</v>
      </c>
      <c r="B168">
        <v>101134.48</v>
      </c>
    </row>
    <row r="169" spans="1:2">
      <c r="A169" s="2" t="s">
        <v>167</v>
      </c>
      <c r="B169">
        <v>133960.29999999999</v>
      </c>
    </row>
    <row r="170" spans="1:2">
      <c r="A170" s="2" t="s">
        <v>168</v>
      </c>
      <c r="B170">
        <v>107822.24</v>
      </c>
    </row>
    <row r="171" spans="1:2">
      <c r="A171" s="2" t="s">
        <v>169</v>
      </c>
      <c r="B171">
        <v>77648.434953999997</v>
      </c>
    </row>
    <row r="172" spans="1:2">
      <c r="A172" s="2" t="s">
        <v>170</v>
      </c>
      <c r="B172">
        <v>71883.702856000004</v>
      </c>
    </row>
    <row r="173" spans="1:2">
      <c r="A173" s="2" t="s">
        <v>171</v>
      </c>
      <c r="B173">
        <v>78199.844112000006</v>
      </c>
    </row>
    <row r="174" spans="1:2">
      <c r="A174" s="2" t="s">
        <v>172</v>
      </c>
      <c r="B174">
        <v>96699.856232000006</v>
      </c>
    </row>
    <row r="175" spans="1:2">
      <c r="A175" s="2" t="s">
        <v>173</v>
      </c>
      <c r="B175">
        <v>104520.062335</v>
      </c>
    </row>
    <row r="176" spans="1:2">
      <c r="A176" s="2" t="s">
        <v>174</v>
      </c>
      <c r="B176">
        <v>146378.21679599999</v>
      </c>
    </row>
    <row r="177" spans="1:3">
      <c r="A177" s="2" t="s">
        <v>175</v>
      </c>
      <c r="B177">
        <v>78352.449605999995</v>
      </c>
    </row>
    <row r="178" spans="1:3">
      <c r="A178" s="2" t="s">
        <v>176</v>
      </c>
      <c r="B178" s="14">
        <f>B179</f>
        <v>27740</v>
      </c>
      <c r="C178" s="2"/>
    </row>
    <row r="179" spans="1:3" ht="15">
      <c r="A179" s="2" t="s">
        <v>177</v>
      </c>
      <c r="B179" s="13">
        <f>27.74*1000</f>
        <v>27740</v>
      </c>
      <c r="C179" s="2"/>
    </row>
    <row r="180" spans="1:3" ht="15">
      <c r="A180" s="2" t="s">
        <v>178</v>
      </c>
      <c r="B180" s="13">
        <f>26.71 *1001</f>
        <v>26736.71</v>
      </c>
      <c r="C180" s="2"/>
    </row>
    <row r="181" spans="1:3" ht="15">
      <c r="A181" s="2" t="s">
        <v>179</v>
      </c>
      <c r="B181" s="13">
        <f>22.21 *1002</f>
        <v>22254.420000000002</v>
      </c>
      <c r="C181" s="2"/>
    </row>
    <row r="182" spans="1:3" ht="15">
      <c r="A182" s="2" t="s">
        <v>180</v>
      </c>
      <c r="B182" s="13">
        <f>19.2 *1003</f>
        <v>19257.599999999999</v>
      </c>
      <c r="C182" s="2"/>
    </row>
    <row r="183" spans="1:3">
      <c r="A183" s="2" t="s">
        <v>181</v>
      </c>
      <c r="B183">
        <f>23559.6</f>
        <v>23559.599999999999</v>
      </c>
      <c r="C183" s="2"/>
    </row>
    <row r="184" spans="1:3">
      <c r="A184" s="2" t="s">
        <v>182</v>
      </c>
      <c r="B184">
        <v>26437.87</v>
      </c>
      <c r="C184" s="2"/>
    </row>
    <row r="185" spans="1:3">
      <c r="A185" s="2" t="s">
        <v>183</v>
      </c>
      <c r="B185">
        <v>33768.129999999997</v>
      </c>
      <c r="C185" s="2"/>
    </row>
    <row r="186" spans="1:3">
      <c r="A186" s="2" t="s">
        <v>184</v>
      </c>
      <c r="B186">
        <v>47470.55</v>
      </c>
      <c r="C186" s="2"/>
    </row>
    <row r="187" spans="1:3">
      <c r="A187" s="2" t="s">
        <v>185</v>
      </c>
      <c r="B187">
        <v>46941.97</v>
      </c>
      <c r="C187" s="2"/>
    </row>
    <row r="188" spans="1:3">
      <c r="A188" s="2" t="s">
        <v>186</v>
      </c>
      <c r="B188">
        <v>36683.475595000004</v>
      </c>
      <c r="C188" s="2"/>
    </row>
    <row r="189" spans="1:3">
      <c r="A189" s="2" t="s">
        <v>187</v>
      </c>
      <c r="B189">
        <v>1601.8452970000001</v>
      </c>
      <c r="C189" s="2"/>
    </row>
    <row r="190" spans="1:3">
      <c r="A190" s="2" t="s">
        <v>188</v>
      </c>
      <c r="B190">
        <v>3674.9691509999998</v>
      </c>
      <c r="C190" s="2"/>
    </row>
    <row r="191" spans="1:3">
      <c r="A191" s="2" t="s">
        <v>189</v>
      </c>
      <c r="B191">
        <v>4250.1646799999999</v>
      </c>
      <c r="C191" s="2"/>
    </row>
    <row r="192" spans="1:3">
      <c r="A192" s="2" t="s">
        <v>190</v>
      </c>
      <c r="B192">
        <v>2770.6489019999999</v>
      </c>
      <c r="C192" s="2"/>
    </row>
    <row r="193" spans="1:3">
      <c r="A193" s="2" t="s">
        <v>191</v>
      </c>
      <c r="B193">
        <v>4683.2961839999998</v>
      </c>
      <c r="C193" s="2"/>
    </row>
    <row r="194" spans="1:3">
      <c r="A194" s="2" t="s">
        <v>192</v>
      </c>
      <c r="B194">
        <v>8526.2402889999994</v>
      </c>
    </row>
    <row r="195" spans="1:3">
      <c r="A195" s="2" t="s">
        <v>193</v>
      </c>
      <c r="B195">
        <v>15863.824789</v>
      </c>
    </row>
    <row r="196" spans="1:3">
      <c r="A196" s="2" t="s">
        <v>194</v>
      </c>
      <c r="B196">
        <v>18098.452945000001</v>
      </c>
    </row>
    <row r="197" spans="1:3">
      <c r="A197" s="2" t="s">
        <v>195</v>
      </c>
      <c r="B197">
        <v>33819.495953999998</v>
      </c>
    </row>
    <row r="198" spans="1:3">
      <c r="A198" s="2" t="s">
        <v>196</v>
      </c>
      <c r="B198">
        <v>26855.655827999999</v>
      </c>
    </row>
    <row r="199" spans="1:3">
      <c r="A199" s="2" t="s">
        <v>197</v>
      </c>
      <c r="B199">
        <v>14681.821789</v>
      </c>
    </row>
    <row r="200" spans="1:3">
      <c r="A200" s="2" t="s">
        <v>198</v>
      </c>
      <c r="B200">
        <f>29.29*1000000000/1000000</f>
        <v>29290</v>
      </c>
    </row>
    <row r="201" spans="1:3">
      <c r="A201" s="2" t="s">
        <v>199</v>
      </c>
      <c r="B201">
        <f>36.25*1000000000/1000000</f>
        <v>36250</v>
      </c>
    </row>
    <row r="202" spans="1:3">
      <c r="A202" s="2" t="s">
        <v>200</v>
      </c>
      <c r="B202">
        <f>35.04*1000000000/1000000</f>
        <v>35040</v>
      </c>
    </row>
    <row r="203" spans="1:3">
      <c r="A203" s="2" t="s">
        <v>201</v>
      </c>
      <c r="B203">
        <f>42.39*1000000000/1000000</f>
        <v>42390</v>
      </c>
    </row>
    <row r="204" spans="1:3">
      <c r="A204" s="2" t="s">
        <v>202</v>
      </c>
      <c r="B204">
        <f>39.49 *1000000000/1000000</f>
        <v>39490</v>
      </c>
    </row>
    <row r="205" spans="1:3">
      <c r="A205" s="2" t="s">
        <v>203</v>
      </c>
      <c r="B205">
        <f>45.2 *1000000000/1000000</f>
        <v>45200</v>
      </c>
    </row>
    <row r="206" spans="1:3">
      <c r="A206" s="2" t="s">
        <v>204</v>
      </c>
      <c r="B206">
        <f>32.12 *1000000000/1000000</f>
        <v>32119.999999999996</v>
      </c>
    </row>
    <row r="207" spans="1:3">
      <c r="A207" s="2" t="s">
        <v>205</v>
      </c>
      <c r="B207">
        <f>41.85 *1000000000/1000000</f>
        <v>41850</v>
      </c>
    </row>
    <row r="208" spans="1:3">
      <c r="A208" s="2" t="s">
        <v>206</v>
      </c>
      <c r="B208">
        <f>45.43 *1000000000/1000000</f>
        <v>45430</v>
      </c>
    </row>
    <row r="209" spans="1:2">
      <c r="A209" s="2" t="s">
        <v>207</v>
      </c>
      <c r="B209">
        <f>52.12 *1000000000/1000000</f>
        <v>52120</v>
      </c>
    </row>
    <row r="210" spans="1:2">
      <c r="A210" s="2" t="s">
        <v>208</v>
      </c>
      <c r="B210">
        <f>44.99 *1000000000/1000000</f>
        <v>44990</v>
      </c>
    </row>
    <row r="211" spans="1:2">
      <c r="A211" s="2" t="s">
        <v>209</v>
      </c>
      <c r="B211">
        <f>103.51*1000000000/1000000</f>
        <v>103510</v>
      </c>
    </row>
    <row r="212" spans="1:2">
      <c r="A212" s="2" t="s">
        <v>210</v>
      </c>
      <c r="B212">
        <f>147.5*1000000000/1000000</f>
        <v>147500</v>
      </c>
    </row>
    <row r="213" spans="1:2">
      <c r="A213" s="2" t="s">
        <v>211</v>
      </c>
      <c r="B213">
        <f>193.9*1000000000/1000000</f>
        <v>193900</v>
      </c>
    </row>
    <row r="214" spans="1:2">
      <c r="A214" s="2" t="s">
        <v>212</v>
      </c>
      <c r="B214">
        <f>198.99*1000000000/1000000</f>
        <v>198990</v>
      </c>
    </row>
    <row r="215" spans="1:2">
      <c r="A215" s="2" t="s">
        <v>213</v>
      </c>
      <c r="B215">
        <f>191.06*1000000000/1000000</f>
        <v>191060</v>
      </c>
    </row>
    <row r="216" spans="1:2">
      <c r="A216" s="2" t="s">
        <v>214</v>
      </c>
      <c r="B216">
        <f>197.39*1000000000/1000000</f>
        <v>197390</v>
      </c>
    </row>
    <row r="217" spans="1:2">
      <c r="A217" s="2" t="s">
        <v>215</v>
      </c>
      <c r="B217">
        <f>165.27 *1000000000/1000000</f>
        <v>165270</v>
      </c>
    </row>
    <row r="218" spans="1:2">
      <c r="A218" s="2" t="s">
        <v>216</v>
      </c>
      <c r="B218">
        <f>196.93*1000000000/1000000</f>
        <v>196930</v>
      </c>
    </row>
    <row r="219" spans="1:2">
      <c r="A219" s="2" t="s">
        <v>217</v>
      </c>
      <c r="B219">
        <f>215.71*1000000000/1000000</f>
        <v>215710</v>
      </c>
    </row>
    <row r="220" spans="1:2">
      <c r="A220" s="2" t="s">
        <v>218</v>
      </c>
      <c r="B220">
        <f>252.84*1000000000/1000000</f>
        <v>252840</v>
      </c>
    </row>
    <row r="221" spans="1:2">
      <c r="A221" s="2" t="s">
        <v>219</v>
      </c>
      <c r="B221">
        <f>186.35*1000000000/1000000</f>
        <v>186350</v>
      </c>
    </row>
    <row r="222" spans="1:2">
      <c r="A222" s="2" t="s">
        <v>220</v>
      </c>
      <c r="B222">
        <f>7.93*1000000000/1000000</f>
        <v>7930</v>
      </c>
    </row>
    <row r="223" spans="1:2">
      <c r="A223" s="2" t="s">
        <v>221</v>
      </c>
      <c r="B223">
        <f>11.66*1000000000/1000000</f>
        <v>11660</v>
      </c>
    </row>
    <row r="224" spans="1:2">
      <c r="A224" s="2" t="s">
        <v>222</v>
      </c>
      <c r="B224">
        <f>18.14*1000000000/1000000</f>
        <v>18140</v>
      </c>
    </row>
    <row r="225" spans="1:2">
      <c r="A225" s="2" t="s">
        <v>223</v>
      </c>
      <c r="B225">
        <f>22.29*1000000000/1000000</f>
        <v>22290</v>
      </c>
    </row>
    <row r="226" spans="1:2">
      <c r="A226" s="2" t="s">
        <v>224</v>
      </c>
      <c r="B226">
        <f>16.31*1000000000/1000000</f>
        <v>16309.999999999998</v>
      </c>
    </row>
    <row r="227" spans="1:2">
      <c r="A227" s="2" t="s">
        <v>225</v>
      </c>
      <c r="B227">
        <f>16.6*1000000000/1000000</f>
        <v>16600.000000000004</v>
      </c>
    </row>
    <row r="228" spans="1:2">
      <c r="A228" s="2" t="s">
        <v>226</v>
      </c>
      <c r="B228">
        <f>14.87*1000000000/1000000</f>
        <v>14870</v>
      </c>
    </row>
    <row r="229" spans="1:2">
      <c r="A229" s="2" t="s">
        <v>227</v>
      </c>
      <c r="B229">
        <f>16.63*1000000000/1000000</f>
        <v>16629.999999999996</v>
      </c>
    </row>
    <row r="230" spans="1:2">
      <c r="A230" s="2" t="s">
        <v>228</v>
      </c>
      <c r="B230">
        <f>21.18*1000000000/1000000</f>
        <v>21180</v>
      </c>
    </row>
    <row r="231" spans="1:2">
      <c r="A231" s="2" t="s">
        <v>229</v>
      </c>
      <c r="B231">
        <f>24.34*1000000000/1000000</f>
        <v>24340</v>
      </c>
    </row>
    <row r="232" spans="1:2">
      <c r="A232" s="2" t="s">
        <v>230</v>
      </c>
      <c r="B232">
        <f>16.05*1000000000/1000000</f>
        <v>16050</v>
      </c>
    </row>
    <row r="233" spans="1:2">
      <c r="A233" s="2" t="s">
        <v>231</v>
      </c>
      <c r="B233">
        <f>8.41*1000000000/1000000</f>
        <v>8410</v>
      </c>
    </row>
    <row r="234" spans="1:2">
      <c r="A234" s="2" t="s">
        <v>232</v>
      </c>
      <c r="B234">
        <f>9.5*1000000000/1000000</f>
        <v>9500</v>
      </c>
    </row>
    <row r="235" spans="1:2">
      <c r="A235" s="2" t="s">
        <v>233</v>
      </c>
      <c r="B235">
        <f>7.27*1000000000/1000000</f>
        <v>7270</v>
      </c>
    </row>
    <row r="236" spans="1:2">
      <c r="A236" s="2" t="s">
        <v>234</v>
      </c>
      <c r="B236">
        <f>4.33*1000000000/1000000</f>
        <v>4330</v>
      </c>
    </row>
    <row r="237" spans="1:2">
      <c r="A237" s="2" t="s">
        <v>235</v>
      </c>
      <c r="B237">
        <f>18.42*1000000000/1000000</f>
        <v>18420</v>
      </c>
    </row>
    <row r="238" spans="1:2">
      <c r="A238" s="2" t="s">
        <v>236</v>
      </c>
      <c r="B238">
        <f>21.2*1000000000/1000000</f>
        <v>21200</v>
      </c>
    </row>
    <row r="239" spans="1:2">
      <c r="A239" s="2" t="s">
        <v>237</v>
      </c>
      <c r="B239">
        <f>23.85*1000000000/1000000</f>
        <v>23850</v>
      </c>
    </row>
    <row r="240" spans="1:2">
      <c r="A240" s="2" t="s">
        <v>238</v>
      </c>
      <c r="B240">
        <f>18.24*1000000000/1000000</f>
        <v>18240</v>
      </c>
    </row>
    <row r="241" spans="1:2">
      <c r="A241" s="2" t="s">
        <v>278</v>
      </c>
      <c r="B241">
        <f>16*1000000000/1000000</f>
        <v>16000</v>
      </c>
    </row>
    <row r="242" spans="1:2">
      <c r="A242" s="2" t="s">
        <v>240</v>
      </c>
      <c r="B242">
        <f>24.24*1000000000/1000000</f>
        <v>24240</v>
      </c>
    </row>
    <row r="243" spans="1:2">
      <c r="A243" s="2" t="s">
        <v>241</v>
      </c>
      <c r="B243">
        <f>35.18*1000000000/1000000</f>
        <v>35180</v>
      </c>
    </row>
    <row r="244" spans="1:2">
      <c r="A244" s="2" t="s">
        <v>242</v>
      </c>
      <c r="B244">
        <f>44.62*1000000000/1000000</f>
        <v>44620</v>
      </c>
    </row>
    <row r="245" spans="1:2">
      <c r="A245" s="2" t="s">
        <v>243</v>
      </c>
      <c r="B245">
        <f>25.23*1000000000/1000000</f>
        <v>25230</v>
      </c>
    </row>
    <row r="246" spans="1:2">
      <c r="A246" s="2" t="s">
        <v>244</v>
      </c>
      <c r="B246">
        <f>92.27*1000000000/1000000</f>
        <v>92270</v>
      </c>
    </row>
    <row r="247" spans="1:2">
      <c r="A247" s="2" t="s">
        <v>245</v>
      </c>
      <c r="B247">
        <f>106.15*1000000000/1000000</f>
        <v>106150</v>
      </c>
    </row>
    <row r="248" spans="1:2">
      <c r="A248" s="2" t="s">
        <v>246</v>
      </c>
      <c r="B248">
        <f>125.25*1000000000/1000000</f>
        <v>125250</v>
      </c>
    </row>
    <row r="249" spans="1:2">
      <c r="A249" s="2" t="s">
        <v>247</v>
      </c>
      <c r="B249">
        <f>122.94*1000000000/1000000</f>
        <v>122940</v>
      </c>
    </row>
    <row r="250" spans="1:2">
      <c r="A250" s="2" t="s">
        <v>248</v>
      </c>
      <c r="B250">
        <f>74.72*1000000000/1000000</f>
        <v>74720</v>
      </c>
    </row>
    <row r="251" spans="1:2">
      <c r="A251" s="2" t="s">
        <v>249</v>
      </c>
      <c r="B251">
        <f>96.36*1000000000/1000000</f>
        <v>96360</v>
      </c>
    </row>
    <row r="252" spans="1:2">
      <c r="A252" s="2" t="s">
        <v>279</v>
      </c>
      <c r="B252">
        <f>68.86*1000000000/1000000</f>
        <v>68860</v>
      </c>
    </row>
    <row r="253" spans="1:2">
      <c r="A253" s="2" t="s">
        <v>251</v>
      </c>
      <c r="B253">
        <f>100.84*1000000000/1000000</f>
        <v>100840</v>
      </c>
    </row>
    <row r="254" spans="1:2">
      <c r="A254" s="2" t="s">
        <v>252</v>
      </c>
      <c r="B254">
        <f>172.29*1000000000/1000000</f>
        <v>172290</v>
      </c>
    </row>
    <row r="255" spans="1:2">
      <c r="A255" s="2" t="s">
        <v>253</v>
      </c>
      <c r="B255">
        <f>205.72*1000000000/1000000</f>
        <v>205720</v>
      </c>
    </row>
    <row r="256" spans="1:2">
      <c r="A256" s="2" t="s">
        <v>254</v>
      </c>
      <c r="B256">
        <f>123.24*1000000000/1000000</f>
        <v>123240</v>
      </c>
    </row>
    <row r="257" spans="1:2">
      <c r="A257" s="2" t="s">
        <v>255</v>
      </c>
      <c r="B257">
        <f>40.65*1000000000/1000000</f>
        <v>40650</v>
      </c>
    </row>
    <row r="258" spans="1:2">
      <c r="A258" s="2" t="s">
        <v>256</v>
      </c>
      <c r="B258">
        <f>35.06*1000000000/1000000</f>
        <v>35060</v>
      </c>
    </row>
    <row r="259" spans="1:2">
      <c r="A259" s="2" t="s">
        <v>257</v>
      </c>
      <c r="B259">
        <f>62.31*1000000000/1000000</f>
        <v>62310</v>
      </c>
    </row>
    <row r="260" spans="1:2">
      <c r="A260" s="2" t="s">
        <v>258</v>
      </c>
      <c r="B260">
        <f>80.03*1000000000/1000000</f>
        <v>80030</v>
      </c>
    </row>
    <row r="261" spans="1:2">
      <c r="A261" s="2" t="s">
        <v>259</v>
      </c>
      <c r="B261">
        <f>65.42*1000000000/1000000</f>
        <v>65420</v>
      </c>
    </row>
    <row r="262" spans="1:2">
      <c r="A262" s="2" t="s">
        <v>260</v>
      </c>
      <c r="B262">
        <f>57.03*1000000000/1000000</f>
        <v>57030</v>
      </c>
    </row>
    <row r="263" spans="1:2">
      <c r="A263" s="2" t="s">
        <v>280</v>
      </c>
      <c r="B263">
        <f>55.4*1000000000/1000000</f>
        <v>55400</v>
      </c>
    </row>
    <row r="264" spans="1:2">
      <c r="A264" s="2" t="s">
        <v>262</v>
      </c>
      <c r="B264">
        <f>43.71*1000000000/1000000</f>
        <v>43710</v>
      </c>
    </row>
    <row r="265" spans="1:2">
      <c r="A265" s="2" t="s">
        <v>263</v>
      </c>
      <c r="B265">
        <f>73.75*1000000000/1000000</f>
        <v>73750</v>
      </c>
    </row>
    <row r="266" spans="1:2">
      <c r="A266" s="2" t="s">
        <v>264</v>
      </c>
      <c r="B266">
        <f>51.77*1000000000/1000000</f>
        <v>51770</v>
      </c>
    </row>
    <row r="267" spans="1:2">
      <c r="A267" s="2" t="s">
        <v>265</v>
      </c>
      <c r="B267">
        <f>39.52*1000000000/1000000</f>
        <v>39520</v>
      </c>
    </row>
    <row r="268" spans="1:2">
      <c r="A268" s="2" t="s">
        <v>266</v>
      </c>
      <c r="B268">
        <f>33.26*1000000000/1000000</f>
        <v>33259.999999999993</v>
      </c>
    </row>
    <row r="269" spans="1:2">
      <c r="A269" s="2" t="s">
        <v>267</v>
      </c>
      <c r="B269">
        <f>34.23*1000000000/1000000</f>
        <v>34229.999999999993</v>
      </c>
    </row>
    <row r="270" spans="1:2">
      <c r="A270" s="2" t="s">
        <v>268</v>
      </c>
      <c r="B270">
        <f>47.54*1000000000/1000000</f>
        <v>47540</v>
      </c>
    </row>
    <row r="271" spans="1:2">
      <c r="A271" s="2" t="s">
        <v>269</v>
      </c>
      <c r="B271">
        <f>55.95*1000000000/1000000</f>
        <v>55950</v>
      </c>
    </row>
    <row r="272" spans="1:2">
      <c r="A272" s="2" t="s">
        <v>270</v>
      </c>
      <c r="B272">
        <f>55.42*1000000000/1000000</f>
        <v>55420</v>
      </c>
    </row>
    <row r="273" spans="1:2">
      <c r="A273" s="2" t="s">
        <v>271</v>
      </c>
      <c r="B273">
        <f>72.93*1000000000/1000000</f>
        <v>72930</v>
      </c>
    </row>
    <row r="274" spans="1:2">
      <c r="A274" s="2" t="s">
        <v>281</v>
      </c>
      <c r="B274">
        <f>89.31*1000000000/1000000</f>
        <v>89310</v>
      </c>
    </row>
    <row r="275" spans="1:2">
      <c r="A275" s="2" t="s">
        <v>273</v>
      </c>
      <c r="B275">
        <f>119.57*1000000000/1000000</f>
        <v>119570</v>
      </c>
    </row>
    <row r="276" spans="1:2">
      <c r="A276" s="2" t="s">
        <v>274</v>
      </c>
      <c r="B276">
        <f>150.66*1000000000/1000000</f>
        <v>150660</v>
      </c>
    </row>
    <row r="277" spans="1:2">
      <c r="A277" s="2" t="s">
        <v>275</v>
      </c>
      <c r="B277">
        <f>174.14*1000000000/1000000</f>
        <v>174140</v>
      </c>
    </row>
    <row r="278" spans="1:2">
      <c r="A278" s="2" t="s">
        <v>276</v>
      </c>
      <c r="B278">
        <f>149.94*1000000000/1000000</f>
        <v>149940</v>
      </c>
    </row>
  </sheetData>
  <phoneticPr fontId="2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203C-F60F-4EE5-9544-D0E4496EE69A}">
  <dimension ref="A1:B278"/>
  <sheetViews>
    <sheetView topLeftCell="A243" zoomScale="160" zoomScaleNormal="160" workbookViewId="0">
      <selection activeCell="B246" sqref="B246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</row>
    <row r="3" spans="1:2">
      <c r="A3" s="2" t="s">
        <v>1</v>
      </c>
      <c r="B3">
        <f>Valor_mercado_millones!B3/Valor_mercado_millones!B2-1</f>
        <v>0.43540111940298498</v>
      </c>
    </row>
    <row r="4" spans="1:2">
      <c r="A4" s="2" t="s">
        <v>2</v>
      </c>
      <c r="B4">
        <f>Valor_mercado_millones!B4/Valor_mercado_millones!B3-1</f>
        <v>0.22664500406173849</v>
      </c>
    </row>
    <row r="5" spans="1:2">
      <c r="A5" s="2" t="s">
        <v>3</v>
      </c>
      <c r="B5">
        <f>Valor_mercado_millones!B5/Valor_mercado_millones!B4-1</f>
        <v>-6.9933774834437079E-2</v>
      </c>
    </row>
    <row r="6" spans="1:2">
      <c r="A6" s="2" t="s">
        <v>4</v>
      </c>
      <c r="B6">
        <f>Valor_mercado_millones!B6/Valor_mercado_millones!B5-1</f>
        <v>-1.8798063229849005E-2</v>
      </c>
    </row>
    <row r="7" spans="1:2">
      <c r="A7" s="2" t="s">
        <v>5</v>
      </c>
      <c r="B7">
        <f>Valor_mercado_millones!B7/Valor_mercado_millones!B6-1</f>
        <v>-0.11886792452830186</v>
      </c>
    </row>
    <row r="8" spans="1:2">
      <c r="A8" s="2" t="s">
        <v>6</v>
      </c>
      <c r="B8">
        <f>Valor_mercado_millones!B8/Valor_mercado_millones!B7-1</f>
        <v>-0.13243287761489042</v>
      </c>
    </row>
    <row r="9" spans="1:2">
      <c r="A9" s="2" t="s">
        <v>7</v>
      </c>
      <c r="B9">
        <f>Valor_mercado_millones!B9/Valor_mercado_millones!B8-1</f>
        <v>3.037782418834345E-3</v>
      </c>
    </row>
    <row r="10" spans="1:2">
      <c r="A10" s="2" t="s">
        <v>8</v>
      </c>
      <c r="B10">
        <f>Valor_mercado_millones!B10/Valor_mercado_millones!B9-1</f>
        <v>8.6314593980692855E-2</v>
      </c>
    </row>
    <row r="11" spans="1:2">
      <c r="A11" s="2" t="s">
        <v>9</v>
      </c>
      <c r="B11">
        <f>Valor_mercado_millones!B11/Valor_mercado_millones!B10-1</f>
        <v>0.13451820874716858</v>
      </c>
    </row>
    <row r="12" spans="1:2">
      <c r="A12" s="2" t="s">
        <v>10</v>
      </c>
      <c r="B12">
        <f>Valor_mercado_millones!B12/Valor_mercado_millones!B11-1</f>
        <v>-9.9984641376132721E-2</v>
      </c>
    </row>
    <row r="13" spans="1:2">
      <c r="A13" s="2" t="s">
        <v>11</v>
      </c>
    </row>
    <row r="14" spans="1:2">
      <c r="A14" s="2" t="s">
        <v>12</v>
      </c>
      <c r="B14">
        <f>Valor_mercado_millones!B14/Valor_mercado_millones!B13-1</f>
        <v>0.88731814010841936</v>
      </c>
    </row>
    <row r="15" spans="1:2">
      <c r="A15" s="2" t="s">
        <v>13</v>
      </c>
      <c r="B15">
        <f>Valor_mercado_millones!B15/Valor_mercado_millones!B14-1</f>
        <v>0.89823830279881167</v>
      </c>
    </row>
    <row r="16" spans="1:2">
      <c r="A16" s="2" t="s">
        <v>14</v>
      </c>
      <c r="B16">
        <f>Valor_mercado_millones!B16/Valor_mercado_millones!B15-1</f>
        <v>-5.9496395159837956E-2</v>
      </c>
    </row>
    <row r="17" spans="1:2">
      <c r="A17" s="2" t="s">
        <v>15</v>
      </c>
      <c r="B17">
        <f>Valor_mercado_millones!B17/Valor_mercado_millones!B16-1</f>
        <v>0.15080344321666517</v>
      </c>
    </row>
    <row r="18" spans="1:2">
      <c r="A18" s="2" t="s">
        <v>16</v>
      </c>
      <c r="B18">
        <f>Valor_mercado_millones!B18/Valor_mercado_millones!B17-1</f>
        <v>-0.20236749364904116</v>
      </c>
    </row>
    <row r="19" spans="1:2">
      <c r="A19" s="2" t="s">
        <v>17</v>
      </c>
      <c r="B19">
        <f>Valor_mercado_millones!B19/Valor_mercado_millones!B18-1</f>
        <v>-0.2812041384162236</v>
      </c>
    </row>
    <row r="20" spans="1:2">
      <c r="A20" s="2" t="s">
        <v>18</v>
      </c>
      <c r="B20">
        <f>Valor_mercado_millones!B20/Valor_mercado_millones!B19-1</f>
        <v>-7.0295564467204308E-2</v>
      </c>
    </row>
    <row r="21" spans="1:2">
      <c r="A21" s="2" t="s">
        <v>19</v>
      </c>
      <c r="B21">
        <f>Valor_mercado_millones!B21/Valor_mercado_millones!B20-1</f>
        <v>0.1663950476205216</v>
      </c>
    </row>
    <row r="22" spans="1:2">
      <c r="A22" s="2" t="s">
        <v>20</v>
      </c>
      <c r="B22">
        <f>Valor_mercado_millones!B22/Valor_mercado_millones!B21-1</f>
        <v>-0.29648898193572804</v>
      </c>
    </row>
    <row r="23" spans="1:2">
      <c r="A23" s="2" t="s">
        <v>21</v>
      </c>
      <c r="B23">
        <f>Valor_mercado_millones!B23/Valor_mercado_millones!B22-1</f>
        <v>-0.43218447724556253</v>
      </c>
    </row>
    <row r="24" spans="1:2">
      <c r="A24" s="2" t="s">
        <v>22</v>
      </c>
    </row>
    <row r="25" spans="1:2">
      <c r="A25" s="2" t="s">
        <v>23</v>
      </c>
      <c r="B25">
        <f>Valor_mercado_millones!B25/Valor_mercado_millones!B24-1</f>
        <v>0.26325400664199261</v>
      </c>
    </row>
    <row r="26" spans="1:2">
      <c r="A26" s="2" t="s">
        <v>24</v>
      </c>
      <c r="B26">
        <f>Valor_mercado_millones!B26/Valor_mercado_millones!B25-1</f>
        <v>0.51443132908886557</v>
      </c>
    </row>
    <row r="27" spans="1:2">
      <c r="A27" s="2" t="s">
        <v>25</v>
      </c>
      <c r="B27">
        <f>Valor_mercado_millones!B27/Valor_mercado_millones!B26-1</f>
        <v>-0.11821747295125207</v>
      </c>
    </row>
    <row r="28" spans="1:2">
      <c r="A28" s="2" t="s">
        <v>26</v>
      </c>
      <c r="B28">
        <f>Valor_mercado_millones!B28/Valor_mercado_millones!B27-1</f>
        <v>2.0355413252870935E-2</v>
      </c>
    </row>
    <row r="29" spans="1:2">
      <c r="A29" s="2" t="s">
        <v>27</v>
      </c>
      <c r="B29">
        <f>Valor_mercado_millones!B29/Valor_mercado_millones!B28-1</f>
        <v>-0.10124672667455037</v>
      </c>
    </row>
    <row r="30" spans="1:2">
      <c r="A30" s="2" t="s">
        <v>28</v>
      </c>
      <c r="B30">
        <f>Valor_mercado_millones!B30/Valor_mercado_millones!B29-1</f>
        <v>2.5780700506676801E-2</v>
      </c>
    </row>
    <row r="31" spans="1:2">
      <c r="A31" s="2" t="s">
        <v>29</v>
      </c>
      <c r="B31">
        <f>Valor_mercado_millones!B31/Valor_mercado_millones!B30-1</f>
        <v>9.7918749800673943E-4</v>
      </c>
    </row>
    <row r="32" spans="1:2">
      <c r="A32" s="2" t="s">
        <v>30</v>
      </c>
      <c r="B32">
        <f>Valor_mercado_millones!B32/Valor_mercado_millones!B31-1</f>
        <v>0.32212048130466431</v>
      </c>
    </row>
    <row r="33" spans="1:2">
      <c r="A33" s="2" t="s">
        <v>31</v>
      </c>
      <c r="B33">
        <f>Valor_mercado_millones!B33/Valor_mercado_millones!B32-1</f>
        <v>0.37045236266675907</v>
      </c>
    </row>
    <row r="34" spans="1:2">
      <c r="A34" s="2" t="s">
        <v>32</v>
      </c>
      <c r="B34">
        <f>Valor_mercado_millones!B34/Valor_mercado_millones!B33-1</f>
        <v>-0.41848976047401298</v>
      </c>
    </row>
    <row r="35" spans="1:2">
      <c r="A35" s="2" t="s">
        <v>33</v>
      </c>
    </row>
    <row r="36" spans="1:2">
      <c r="A36" s="2" t="s">
        <v>34</v>
      </c>
      <c r="B36">
        <f>Valor_mercado_millones!B36/Valor_mercado_millones!B35-1</f>
        <v>0.24248801604382697</v>
      </c>
    </row>
    <row r="37" spans="1:2">
      <c r="A37" s="2" t="s">
        <v>35</v>
      </c>
      <c r="B37">
        <f>Valor_mercado_millones!B37/Valor_mercado_millones!B36-1</f>
        <v>0.19849142321739821</v>
      </c>
    </row>
    <row r="38" spans="1:2">
      <c r="A38" s="2" t="s">
        <v>36</v>
      </c>
      <c r="B38">
        <f>Valor_mercado_millones!B38/Valor_mercado_millones!B37-1</f>
        <v>8.8643216146429005E-3</v>
      </c>
    </row>
    <row r="39" spans="1:2">
      <c r="A39" s="2" t="s">
        <v>37</v>
      </c>
      <c r="B39">
        <f>Valor_mercado_millones!B39/Valor_mercado_millones!B38-1</f>
        <v>-8.9362083140012816E-2</v>
      </c>
    </row>
    <row r="40" spans="1:2">
      <c r="A40" s="2" t="s">
        <v>38</v>
      </c>
      <c r="B40">
        <f>Valor_mercado_millones!B40/Valor_mercado_millones!B39-1</f>
        <v>-0.14794379172752348</v>
      </c>
    </row>
    <row r="41" spans="1:2">
      <c r="A41" s="2" t="s">
        <v>39</v>
      </c>
      <c r="B41">
        <f>Valor_mercado_millones!B41/Valor_mercado_millones!B40-1</f>
        <v>-0.36230904768704253</v>
      </c>
    </row>
    <row r="42" spans="1:2">
      <c r="A42" s="2" t="s">
        <v>40</v>
      </c>
      <c r="B42">
        <f>Valor_mercado_millones!B42/Valor_mercado_millones!B41-1</f>
        <v>0.21262640470232896</v>
      </c>
    </row>
    <row r="43" spans="1:2">
      <c r="A43" s="2" t="s">
        <v>41</v>
      </c>
      <c r="B43">
        <f>Valor_mercado_millones!B43/Valor_mercado_millones!B42-1</f>
        <v>-5.0784270632381889E-2</v>
      </c>
    </row>
    <row r="44" spans="1:2">
      <c r="A44" s="2" t="s">
        <v>42</v>
      </c>
      <c r="B44">
        <f>Valor_mercado_millones!B44/Valor_mercado_millones!B43-1</f>
        <v>1.3795359047798725</v>
      </c>
    </row>
    <row r="45" spans="1:2">
      <c r="A45" s="2" t="s">
        <v>43</v>
      </c>
      <c r="B45">
        <f>Valor_mercado_millones!B45/Valor_mercado_millones!B44-1</f>
        <v>-0.44061660021315108</v>
      </c>
    </row>
    <row r="46" spans="1:2">
      <c r="A46" s="2" t="s">
        <v>44</v>
      </c>
    </row>
    <row r="47" spans="1:2">
      <c r="A47" s="2" t="s">
        <v>45</v>
      </c>
      <c r="B47">
        <f>Valor_mercado_millones!B47/Valor_mercado_millones!B46-1</f>
        <v>0.24134489732127729</v>
      </c>
    </row>
    <row r="48" spans="1:2">
      <c r="A48" s="2" t="s">
        <v>46</v>
      </c>
      <c r="B48">
        <f>Valor_mercado_millones!B48/Valor_mercado_millones!B47-1</f>
        <v>0.63976952455279723</v>
      </c>
    </row>
    <row r="49" spans="1:2">
      <c r="A49" s="2" t="s">
        <v>47</v>
      </c>
      <c r="B49">
        <f>Valor_mercado_millones!B49/Valor_mercado_millones!B48-1</f>
        <v>-0.12968132161606183</v>
      </c>
    </row>
    <row r="50" spans="1:2">
      <c r="A50" s="2" t="s">
        <v>48</v>
      </c>
      <c r="B50">
        <f>Valor_mercado_millones!B50/Valor_mercado_millones!B49-1</f>
        <v>-6.8557065266840578E-2</v>
      </c>
    </row>
    <row r="51" spans="1:2">
      <c r="A51" s="2" t="s">
        <v>49</v>
      </c>
      <c r="B51">
        <f>Valor_mercado_millones!B51/Valor_mercado_millones!B50-1</f>
        <v>-2.7626757673053781E-3</v>
      </c>
    </row>
    <row r="52" spans="1:2">
      <c r="A52" s="2" t="s">
        <v>50</v>
      </c>
      <c r="B52">
        <f>Valor_mercado_millones!B52/Valor_mercado_millones!B51-1</f>
        <v>-9.6035602717310375E-2</v>
      </c>
    </row>
    <row r="53" spans="1:2">
      <c r="A53" s="2" t="s">
        <v>51</v>
      </c>
      <c r="B53">
        <f>Valor_mercado_millones!B53/Valor_mercado_millones!B52-1</f>
        <v>0.10652518584390069</v>
      </c>
    </row>
    <row r="54" spans="1:2">
      <c r="A54" s="2" t="s">
        <v>52</v>
      </c>
      <c r="B54">
        <f>Valor_mercado_millones!B54/Valor_mercado_millones!B53-1</f>
        <v>0.14881996956974364</v>
      </c>
    </row>
    <row r="55" spans="1:2">
      <c r="A55" s="2" t="s">
        <v>53</v>
      </c>
      <c r="B55">
        <f>Valor_mercado_millones!B55/Valor_mercado_millones!B54-1</f>
        <v>0.4187248187146615</v>
      </c>
    </row>
    <row r="56" spans="1:2">
      <c r="A56" s="2" t="s">
        <v>54</v>
      </c>
      <c r="B56">
        <f>Valor_mercado_millones!B56/Valor_mercado_millones!B55-1</f>
        <v>-0.44905708230008134</v>
      </c>
    </row>
    <row r="57" spans="1:2">
      <c r="A57" s="2" t="s">
        <v>55</v>
      </c>
    </row>
    <row r="58" spans="1:2">
      <c r="A58" s="2" t="s">
        <v>56</v>
      </c>
      <c r="B58">
        <f>Valor_mercado_millones!B58/Valor_mercado_millones!B57-1</f>
        <v>0.30155376119585542</v>
      </c>
    </row>
    <row r="59" spans="1:2">
      <c r="A59" s="2" t="s">
        <v>57</v>
      </c>
      <c r="B59">
        <f>Valor_mercado_millones!B59/Valor_mercado_millones!B58-1</f>
        <v>0.61935737288709736</v>
      </c>
    </row>
    <row r="60" spans="1:2">
      <c r="A60" s="2" t="s">
        <v>58</v>
      </c>
      <c r="B60">
        <f>Valor_mercado_millones!B60/Valor_mercado_millones!B59-1</f>
        <v>0.13146036911972292</v>
      </c>
    </row>
    <row r="61" spans="1:2">
      <c r="A61" s="2" t="s">
        <v>59</v>
      </c>
      <c r="B61">
        <f>Valor_mercado_millones!B61/Valor_mercado_millones!B60-1</f>
        <v>-0.23238841468620386</v>
      </c>
    </row>
    <row r="62" spans="1:2">
      <c r="A62" s="2" t="s">
        <v>60</v>
      </c>
      <c r="B62">
        <f>Valor_mercado_millones!B62/Valor_mercado_millones!B61-1</f>
        <v>-8.5815196062355437E-2</v>
      </c>
    </row>
    <row r="63" spans="1:2">
      <c r="A63" s="2" t="s">
        <v>61</v>
      </c>
      <c r="B63">
        <f>Valor_mercado_millones!B63/Valor_mercado_millones!B62-1</f>
        <v>-7.1702222650037006E-2</v>
      </c>
    </row>
    <row r="64" spans="1:2">
      <c r="A64" s="2" t="s">
        <v>62</v>
      </c>
      <c r="B64">
        <f>Valor_mercado_millones!B64/Valor_mercado_millones!B63-1</f>
        <v>0.57604254684112921</v>
      </c>
    </row>
    <row r="65" spans="1:2">
      <c r="A65" s="2" t="s">
        <v>63</v>
      </c>
      <c r="B65">
        <f>Valor_mercado_millones!B65/Valor_mercado_millones!B64-1</f>
        <v>-0.1199186436171823</v>
      </c>
    </row>
    <row r="66" spans="1:2">
      <c r="A66" s="2" t="s">
        <v>64</v>
      </c>
      <c r="B66">
        <f>Valor_mercado_millones!B66/Valor_mercado_millones!B65-1</f>
        <v>0.53332262548469966</v>
      </c>
    </row>
    <row r="67" spans="1:2">
      <c r="A67" s="2" t="s">
        <v>65</v>
      </c>
      <c r="B67">
        <f>Valor_mercado_millones!B67/Valor_mercado_millones!B66-1</f>
        <v>4.3446846067388689E-2</v>
      </c>
    </row>
    <row r="68" spans="1:2">
      <c r="A68" s="2" t="s">
        <v>66</v>
      </c>
    </row>
    <row r="69" spans="1:2">
      <c r="A69" s="2" t="s">
        <v>67</v>
      </c>
      <c r="B69">
        <f>Valor_mercado_millones!B69/Valor_mercado_millones!B68-1</f>
        <v>0.18449372698804956</v>
      </c>
    </row>
    <row r="70" spans="1:2">
      <c r="A70" s="2" t="s">
        <v>68</v>
      </c>
      <c r="B70">
        <f>Valor_mercado_millones!B70/Valor_mercado_millones!B69-1</f>
        <v>0.43810605390248236</v>
      </c>
    </row>
    <row r="71" spans="1:2">
      <c r="A71" s="2" t="s">
        <v>69</v>
      </c>
      <c r="B71">
        <f>Valor_mercado_millones!B71/Valor_mercado_millones!B70-1</f>
        <v>9.2041382149868234E-2</v>
      </c>
    </row>
    <row r="72" spans="1:2">
      <c r="A72" s="2" t="s">
        <v>70</v>
      </c>
      <c r="B72">
        <f>Valor_mercado_millones!B72/Valor_mercado_millones!B71-1</f>
        <v>1.5450661021821466E-2</v>
      </c>
    </row>
    <row r="73" spans="1:2">
      <c r="A73" s="2" t="s">
        <v>71</v>
      </c>
      <c r="B73">
        <f>Valor_mercado_millones!B73/Valor_mercado_millones!B72-1</f>
        <v>0.11689196346190056</v>
      </c>
    </row>
    <row r="74" spans="1:2">
      <c r="A74" s="2" t="s">
        <v>72</v>
      </c>
      <c r="B74">
        <f>Valor_mercado_millones!B74/Valor_mercado_millones!B73-1</f>
        <v>0.1400401923207184</v>
      </c>
    </row>
    <row r="75" spans="1:2">
      <c r="A75" s="2" t="s">
        <v>73</v>
      </c>
      <c r="B75">
        <f>Valor_mercado_millones!B75/Valor_mercado_millones!B74-1</f>
        <v>0.30278863683917212</v>
      </c>
    </row>
    <row r="76" spans="1:2">
      <c r="A76" s="2" t="s">
        <v>74</v>
      </c>
      <c r="B76">
        <f>Valor_mercado_millones!B76/Valor_mercado_millones!B75-1</f>
        <v>0.17900225479143184</v>
      </c>
    </row>
    <row r="77" spans="1:2">
      <c r="A77" s="2" t="s">
        <v>75</v>
      </c>
      <c r="B77">
        <f>Valor_mercado_millones!B77/Valor_mercado_millones!B76-1</f>
        <v>-3.5891953997839288E-2</v>
      </c>
    </row>
    <row r="78" spans="1:2">
      <c r="A78" s="2" t="s">
        <v>76</v>
      </c>
      <c r="B78">
        <f>Valor_mercado_millones!B78/Valor_mercado_millones!B77-1</f>
        <v>6.603657291547993E-3</v>
      </c>
    </row>
    <row r="79" spans="1:2">
      <c r="A79" s="2" t="s">
        <v>77</v>
      </c>
    </row>
    <row r="80" spans="1:2">
      <c r="A80" s="2" t="s">
        <v>78</v>
      </c>
      <c r="B80">
        <f>Valor_mercado_millones!B80/Valor_mercado_millones!B79-1</f>
        <v>-3.7974683544303778E-2</v>
      </c>
    </row>
    <row r="81" spans="1:2">
      <c r="A81" s="2" t="s">
        <v>79</v>
      </c>
      <c r="B81">
        <f>Valor_mercado_millones!B81/Valor_mercado_millones!B80-1</f>
        <v>-2.2686025408348409E-2</v>
      </c>
    </row>
    <row r="82" spans="1:2">
      <c r="A82" s="2" t="s">
        <v>80</v>
      </c>
      <c r="B82">
        <f>Valor_mercado_millones!B82/Valor_mercado_millones!B81-1</f>
        <v>-0.1044568245125348</v>
      </c>
    </row>
    <row r="83" spans="1:2">
      <c r="A83" s="2" t="s">
        <v>81</v>
      </c>
      <c r="B83">
        <f>Valor_mercado_millones!B83/Valor_mercado_millones!B82-1</f>
        <v>-6.998444790046654E-2</v>
      </c>
    </row>
    <row r="84" spans="1:2">
      <c r="A84" s="2" t="s">
        <v>82</v>
      </c>
      <c r="B84">
        <f>Valor_mercado_millones!B84/Valor_mercado_millones!B83-1</f>
        <v>-0.27257525083612044</v>
      </c>
    </row>
    <row r="85" spans="1:2">
      <c r="A85" s="2" t="s">
        <v>83</v>
      </c>
      <c r="B85">
        <f>Valor_mercado_millones!B85/Valor_mercado_millones!B84-1</f>
        <v>-7.2796934865900331E-2</v>
      </c>
    </row>
    <row r="86" spans="1:2">
      <c r="A86" s="2" t="s">
        <v>84</v>
      </c>
      <c r="B86">
        <f>Valor_mercado_millones!B86/Valor_mercado_millones!B85-1</f>
        <v>0.26859504132231415</v>
      </c>
    </row>
    <row r="87" spans="1:2">
      <c r="A87" s="2" t="s">
        <v>85</v>
      </c>
      <c r="B87">
        <f>Valor_mercado_millones!B87/Valor_mercado_millones!B86-1</f>
        <v>0.49967426710097729</v>
      </c>
    </row>
    <row r="88" spans="1:2">
      <c r="A88" s="2" t="s">
        <v>86</v>
      </c>
      <c r="B88">
        <f>Valor_mercado_millones!B88/Valor_mercado_millones!B87-1</f>
        <v>0.20417028670721105</v>
      </c>
    </row>
    <row r="89" spans="1:2">
      <c r="A89" s="2" t="s">
        <v>87</v>
      </c>
      <c r="B89">
        <f>Valor_mercado_millones!B89/Valor_mercado_millones!B88-1</f>
        <v>-0.32395382395382399</v>
      </c>
    </row>
    <row r="90" spans="1:2">
      <c r="A90" s="2" t="s">
        <v>88</v>
      </c>
    </row>
    <row r="91" spans="1:2">
      <c r="A91" s="2" t="s">
        <v>89</v>
      </c>
      <c r="B91">
        <f>Valor_mercado_millones!B91/Valor_mercado_millones!B90-1</f>
        <v>2.3562753036437245</v>
      </c>
    </row>
    <row r="92" spans="1:2">
      <c r="A92" s="2" t="s">
        <v>90</v>
      </c>
      <c r="B92">
        <f>Valor_mercado_millones!B92/Valor_mercado_millones!B91-1</f>
        <v>-9.5295536791314861E-2</v>
      </c>
    </row>
    <row r="93" spans="1:2">
      <c r="A93" s="2" t="s">
        <v>91</v>
      </c>
      <c r="B93">
        <f>Valor_mercado_millones!B93/Valor_mercado_millones!B92-1</f>
        <v>-7.999999999999996E-2</v>
      </c>
    </row>
    <row r="94" spans="1:2">
      <c r="A94" s="2" t="s">
        <v>92</v>
      </c>
      <c r="B94">
        <f>Valor_mercado_millones!B94/Valor_mercado_millones!B93-1</f>
        <v>-0.11449275362318845</v>
      </c>
    </row>
    <row r="95" spans="1:2">
      <c r="A95" s="2" t="s">
        <v>93</v>
      </c>
      <c r="B95">
        <f>Valor_mercado_millones!B95/Valor_mercado_millones!B94-1</f>
        <v>-6.0556464811784005E-2</v>
      </c>
    </row>
    <row r="96" spans="1:2">
      <c r="A96" s="2" t="s">
        <v>94</v>
      </c>
      <c r="B96">
        <f>Valor_mercado_millones!B96/Valor_mercado_millones!B95-1</f>
        <v>0.29268292682926833</v>
      </c>
    </row>
    <row r="97" spans="1:2">
      <c r="A97" s="2" t="s">
        <v>95</v>
      </c>
      <c r="B97">
        <f>Valor_mercado_millones!B97/Valor_mercado_millones!B96-1</f>
        <v>0.20889487870619949</v>
      </c>
    </row>
    <row r="98" spans="1:2">
      <c r="A98" s="2" t="s">
        <v>96</v>
      </c>
      <c r="B98">
        <f>Valor_mercado_millones!B98/Valor_mercado_millones!B97-1</f>
        <v>0.94202898550724634</v>
      </c>
    </row>
    <row r="99" spans="1:2">
      <c r="A99" s="2" t="s">
        <v>97</v>
      </c>
      <c r="B99">
        <f>Valor_mercado_millones!B99/Valor_mercado_millones!B98-1</f>
        <v>-0.1549942594718714</v>
      </c>
    </row>
    <row r="100" spans="1:2">
      <c r="A100" s="2" t="s">
        <v>98</v>
      </c>
      <c r="B100">
        <f>Valor_mercado_millones!B100/Valor_mercado_millones!B99-1</f>
        <v>-0.19701086956521741</v>
      </c>
    </row>
    <row r="101" spans="1:2">
      <c r="A101" s="2" t="s">
        <v>99</v>
      </c>
    </row>
    <row r="102" spans="1:2">
      <c r="A102" s="2" t="s">
        <v>100</v>
      </c>
      <c r="B102">
        <f>Valor_mercado_millones!B102/Valor_mercado_millones!B101-1</f>
        <v>7.6487431913258463E-2</v>
      </c>
    </row>
    <row r="103" spans="1:2">
      <c r="A103" s="2" t="s">
        <v>101</v>
      </c>
      <c r="B103">
        <f>Valor_mercado_millones!B103/Valor_mercado_millones!B102-1</f>
        <v>-0.11987530129192847</v>
      </c>
    </row>
    <row r="104" spans="1:2">
      <c r="A104" s="2" t="s">
        <v>102</v>
      </c>
      <c r="B104">
        <f>Valor_mercado_millones!B104/Valor_mercado_millones!B103-1</f>
        <v>4.0504208279851905E-2</v>
      </c>
    </row>
    <row r="105" spans="1:2">
      <c r="A105" s="2" t="s">
        <v>103</v>
      </c>
      <c r="B105">
        <f>Valor_mercado_millones!B105/Valor_mercado_millones!B104-1</f>
        <v>0.20136081135325035</v>
      </c>
    </row>
    <row r="106" spans="1:2">
      <c r="A106" s="2" t="s">
        <v>104</v>
      </c>
      <c r="B106">
        <f>Valor_mercado_millones!B106/Valor_mercado_millones!B105-1</f>
        <v>-0.10630745876784631</v>
      </c>
    </row>
    <row r="107" spans="1:2">
      <c r="A107" s="2" t="s">
        <v>105</v>
      </c>
      <c r="B107">
        <f>Valor_mercado_millones!B107/Valor_mercado_millones!B106-1</f>
        <v>-0.20727407726688929</v>
      </c>
    </row>
    <row r="108" spans="1:2">
      <c r="A108" s="2" t="s">
        <v>106</v>
      </c>
      <c r="B108">
        <f>Valor_mercado_millones!B108/Valor_mercado_millones!B107-1</f>
        <v>-0.27406860320630744</v>
      </c>
    </row>
    <row r="109" spans="1:2">
      <c r="A109" s="2" t="s">
        <v>107</v>
      </c>
      <c r="B109">
        <f>Valor_mercado_millones!B109/Valor_mercado_millones!B108-1</f>
        <v>-6.7101866055564785E-2</v>
      </c>
    </row>
    <row r="110" spans="1:2">
      <c r="A110" s="2" t="s">
        <v>108</v>
      </c>
      <c r="B110">
        <f>Valor_mercado_millones!B110/Valor_mercado_millones!B109-1</f>
        <v>0.78550688370425159</v>
      </c>
    </row>
    <row r="111" spans="1:2">
      <c r="A111" s="2" t="s">
        <v>109</v>
      </c>
      <c r="B111">
        <f>Valor_mercado_millones!B111/Valor_mercado_millones!B110-1</f>
        <v>-0.34763092450054034</v>
      </c>
    </row>
    <row r="112" spans="1:2">
      <c r="A112" s="2" t="s">
        <v>110</v>
      </c>
    </row>
    <row r="113" spans="1:2">
      <c r="A113" s="2" t="s">
        <v>111</v>
      </c>
      <c r="B113">
        <f>Valor_mercado_millones!B113/Valor_mercado_millones!B112-1</f>
        <v>-0.27667408560497198</v>
      </c>
    </row>
    <row r="114" spans="1:2">
      <c r="A114" s="2" t="s">
        <v>112</v>
      </c>
      <c r="B114">
        <f>Valor_mercado_millones!B114/Valor_mercado_millones!B113-1</f>
        <v>0.92092257004383038</v>
      </c>
    </row>
    <row r="115" spans="1:2">
      <c r="A115" s="2" t="s">
        <v>113</v>
      </c>
      <c r="B115">
        <f>Valor_mercado_millones!B115/Valor_mercado_millones!B114-1</f>
        <v>9.4339622708008442E-3</v>
      </c>
    </row>
    <row r="116" spans="1:2">
      <c r="A116" s="2" t="s">
        <v>114</v>
      </c>
      <c r="B116">
        <f>Valor_mercado_millones!B116/Valor_mercado_millones!B115-1</f>
        <v>-0.13574946493077489</v>
      </c>
    </row>
    <row r="117" spans="1:2">
      <c r="A117" s="2" t="s">
        <v>115</v>
      </c>
      <c r="B117">
        <f>Valor_mercado_millones!B117/Valor_mercado_millones!B116-1</f>
        <v>2.812139902744315E-3</v>
      </c>
    </row>
    <row r="118" spans="1:2">
      <c r="A118" s="2" t="s">
        <v>116</v>
      </c>
      <c r="B118">
        <f>Valor_mercado_millones!B118/Valor_mercado_millones!B117-1</f>
        <v>-0.11081356312328994</v>
      </c>
    </row>
    <row r="119" spans="1:2">
      <c r="A119" s="2" t="s">
        <v>117</v>
      </c>
      <c r="B119">
        <f>Valor_mercado_millones!B119/Valor_mercado_millones!B118-1</f>
        <v>4.6880364284382248E-2</v>
      </c>
    </row>
    <row r="120" spans="1:2">
      <c r="A120" s="2" t="s">
        <v>118</v>
      </c>
      <c r="B120">
        <f>Valor_mercado_millones!B120/Valor_mercado_millones!B119-1</f>
        <v>0.24786023168162119</v>
      </c>
    </row>
    <row r="121" spans="1:2">
      <c r="A121" s="2" t="s">
        <v>119</v>
      </c>
      <c r="B121">
        <f>Valor_mercado_millones!B121/Valor_mercado_millones!B120-1</f>
        <v>-6.3713660176371145E-2</v>
      </c>
    </row>
    <row r="122" spans="1:2">
      <c r="A122" s="2" t="s">
        <v>120</v>
      </c>
      <c r="B122">
        <f>Valor_mercado_millones!B122/Valor_mercado_millones!B121-1</f>
        <v>-0.24374523404232751</v>
      </c>
    </row>
    <row r="123" spans="1:2">
      <c r="A123" s="2" t="s">
        <v>121</v>
      </c>
    </row>
    <row r="124" spans="1:2">
      <c r="A124" s="2" t="s">
        <v>122</v>
      </c>
      <c r="B124">
        <f>Valor_mercado_millones!B124/Valor_mercado_millones!B123-1</f>
        <v>0.62436823315615797</v>
      </c>
    </row>
    <row r="125" spans="1:2">
      <c r="A125" s="2" t="s">
        <v>123</v>
      </c>
      <c r="B125">
        <f>Valor_mercado_millones!B125/Valor_mercado_millones!B124-1</f>
        <v>1.9344087538071042E-2</v>
      </c>
    </row>
    <row r="126" spans="1:2">
      <c r="A126" s="2" t="s">
        <v>124</v>
      </c>
      <c r="B126">
        <f>Valor_mercado_millones!B126/Valor_mercado_millones!B125-1</f>
        <v>-0.19949266503667484</v>
      </c>
    </row>
    <row r="127" spans="1:2">
      <c r="A127" s="2" t="s">
        <v>125</v>
      </c>
      <c r="B127">
        <f>Valor_mercado_millones!B127/Valor_mercado_millones!B126-1</f>
        <v>-7.9921775268934181E-2</v>
      </c>
    </row>
    <row r="128" spans="1:2">
      <c r="A128" s="2" t="s">
        <v>126</v>
      </c>
      <c r="B128">
        <f>Valor_mercado_millones!B128/Valor_mercado_millones!B127-1</f>
        <v>0.16419170501975433</v>
      </c>
    </row>
    <row r="129" spans="1:2">
      <c r="A129" s="2" t="s">
        <v>127</v>
      </c>
      <c r="B129">
        <f>Valor_mercado_millones!B129/Valor_mercado_millones!B128-1</f>
        <v>0.70997696890163398</v>
      </c>
    </row>
    <row r="130" spans="1:2">
      <c r="A130" s="2" t="s">
        <v>128</v>
      </c>
      <c r="B130">
        <f>Valor_mercado_millones!B130/Valor_mercado_millones!B129-1</f>
        <v>-7.5379624320248695E-8</v>
      </c>
    </row>
    <row r="131" spans="1:2">
      <c r="A131" s="2" t="s">
        <v>129</v>
      </c>
      <c r="B131">
        <f>Valor_mercado_millones!B131/Valor_mercado_millones!B130-1</f>
        <v>0</v>
      </c>
    </row>
    <row r="132" spans="1:2">
      <c r="A132" s="2" t="s">
        <v>130</v>
      </c>
      <c r="B132">
        <f>Valor_mercado_millones!B132/Valor_mercado_millones!B131-1</f>
        <v>0.48584997933880514</v>
      </c>
    </row>
    <row r="133" spans="1:2">
      <c r="A133" s="2" t="s">
        <v>131</v>
      </c>
      <c r="B133">
        <f>Valor_mercado_millones!B133/Valor_mercado_millones!B132-1</f>
        <v>-0.29658640487839283</v>
      </c>
    </row>
    <row r="134" spans="1:2">
      <c r="A134" s="2" t="s">
        <v>132</v>
      </c>
    </row>
    <row r="135" spans="1:2">
      <c r="A135" s="2" t="s">
        <v>133</v>
      </c>
      <c r="B135">
        <f>Valor_mercado_millones!B135/Valor_mercado_millones!B134-1</f>
        <v>-0.37949334734255691</v>
      </c>
    </row>
    <row r="136" spans="1:2">
      <c r="A136" s="2" t="s">
        <v>134</v>
      </c>
      <c r="B136">
        <f>Valor_mercado_millones!B136/Valor_mercado_millones!B135-1</f>
        <v>0.5970434401617728</v>
      </c>
    </row>
    <row r="137" spans="1:2">
      <c r="A137" s="2" t="s">
        <v>135</v>
      </c>
      <c r="B137">
        <f>Valor_mercado_millones!B137/Valor_mercado_millones!B136-1</f>
        <v>0.24901128461138922</v>
      </c>
    </row>
    <row r="138" spans="1:2">
      <c r="A138" s="2" t="s">
        <v>136</v>
      </c>
      <c r="B138">
        <f>Valor_mercado_millones!B138/Valor_mercado_millones!B137-1</f>
        <v>0.38383840762537758</v>
      </c>
    </row>
    <row r="139" spans="1:2">
      <c r="A139" s="2" t="s">
        <v>137</v>
      </c>
      <c r="B139">
        <f>Valor_mercado_millones!B139/Valor_mercado_millones!B138-1</f>
        <v>0.14110183771987117</v>
      </c>
    </row>
    <row r="140" spans="1:2">
      <c r="A140" s="2" t="s">
        <v>138</v>
      </c>
      <c r="B140">
        <f>Valor_mercado_millones!B140/Valor_mercado_millones!B139-1</f>
        <v>0.73150182056569468</v>
      </c>
    </row>
    <row r="141" spans="1:2">
      <c r="A141" s="2" t="s">
        <v>139</v>
      </c>
      <c r="B141">
        <f>Valor_mercado_millones!B141/Valor_mercado_millones!B140-1</f>
        <v>0.36140456091523121</v>
      </c>
    </row>
    <row r="142" spans="1:2">
      <c r="A142" s="2" t="s">
        <v>140</v>
      </c>
      <c r="B142">
        <f>Valor_mercado_millones!B142/Valor_mercado_millones!B141-1</f>
        <v>0.49622176766058623</v>
      </c>
    </row>
    <row r="143" spans="1:2">
      <c r="A143" s="2" t="s">
        <v>141</v>
      </c>
      <c r="B143">
        <f>Valor_mercado_millones!B143/Valor_mercado_millones!B142-1</f>
        <v>0.25484981333899714</v>
      </c>
    </row>
    <row r="144" spans="1:2">
      <c r="A144" s="2" t="s">
        <v>142</v>
      </c>
      <c r="B144">
        <f>Valor_mercado_millones!B144/Valor_mercado_millones!B143-1</f>
        <v>-0.39851489405266816</v>
      </c>
    </row>
    <row r="145" spans="1:2">
      <c r="A145" s="2" t="s">
        <v>143</v>
      </c>
    </row>
    <row r="146" spans="1:2">
      <c r="A146" s="2" t="s">
        <v>144</v>
      </c>
      <c r="B146">
        <f>Valor_mercado_millones!B146/Valor_mercado_millones!B145-1</f>
        <v>0.40485564421629316</v>
      </c>
    </row>
    <row r="147" spans="1:2">
      <c r="A147" s="2" t="s">
        <v>145</v>
      </c>
      <c r="B147">
        <f>Valor_mercado_millones!B147/Valor_mercado_millones!B146-1</f>
        <v>0.77688632753127873</v>
      </c>
    </row>
    <row r="148" spans="1:2">
      <c r="A148" s="2" t="s">
        <v>146</v>
      </c>
      <c r="B148">
        <f>Valor_mercado_millones!B148/Valor_mercado_millones!B147-1</f>
        <v>-0.22950716431437457</v>
      </c>
    </row>
    <row r="149" spans="1:2">
      <c r="A149" s="2" t="s">
        <v>147</v>
      </c>
      <c r="B149">
        <f>Valor_mercado_millones!B149/Valor_mercado_millones!B148-1</f>
        <v>0.48015238949750572</v>
      </c>
    </row>
    <row r="150" spans="1:2">
      <c r="A150" s="2" t="s">
        <v>148</v>
      </c>
      <c r="B150">
        <f>Valor_mercado_millones!B150/Valor_mercado_millones!B149-1</f>
        <v>2.3335121861592922E-2</v>
      </c>
    </row>
    <row r="151" spans="1:2">
      <c r="A151" s="2" t="s">
        <v>149</v>
      </c>
      <c r="B151">
        <f>Valor_mercado_millones!B151/Valor_mercado_millones!B150-1</f>
        <v>0.13417556261313757</v>
      </c>
    </row>
    <row r="152" spans="1:2">
      <c r="A152" s="2" t="s">
        <v>150</v>
      </c>
      <c r="B152">
        <f>Valor_mercado_millones!B152/Valor_mercado_millones!B151-1</f>
        <v>0.1021422071624225</v>
      </c>
    </row>
    <row r="153" spans="1:2">
      <c r="A153" s="2" t="s">
        <v>151</v>
      </c>
      <c r="B153">
        <f>Valor_mercado_millones!B153/Valor_mercado_millones!B152-1</f>
        <v>3.141908341854335</v>
      </c>
    </row>
    <row r="154" spans="1:2">
      <c r="A154" s="2" t="s">
        <v>152</v>
      </c>
      <c r="B154">
        <f>Valor_mercado_millones!B154/Valor_mercado_millones!B153-1</f>
        <v>0.30967759679404039</v>
      </c>
    </row>
    <row r="155" spans="1:2">
      <c r="A155" s="2" t="s">
        <v>153</v>
      </c>
      <c r="B155">
        <f>Valor_mercado_millones!B155/Valor_mercado_millones!B154-1</f>
        <v>-0.27337816166581397</v>
      </c>
    </row>
    <row r="156" spans="1:2">
      <c r="A156" s="2" t="s">
        <v>154</v>
      </c>
    </row>
    <row r="157" spans="1:2">
      <c r="A157" s="2" t="s">
        <v>155</v>
      </c>
      <c r="B157">
        <f>Valor_mercado_millones!B157/Valor_mercado_millones!B156-1</f>
        <v>-0.97961225285065767</v>
      </c>
    </row>
    <row r="158" spans="1:2">
      <c r="A158" s="2" t="s">
        <v>156</v>
      </c>
      <c r="B158">
        <f>Valor_mercado_millones!B158/Valor_mercado_millones!B157-1</f>
        <v>3.7770086179341078</v>
      </c>
    </row>
    <row r="159" spans="1:2">
      <c r="A159" s="2" t="s">
        <v>157</v>
      </c>
      <c r="B159">
        <f>Valor_mercado_millones!B159/Valor_mercado_millones!B158-1</f>
        <v>0.50818995880596618</v>
      </c>
    </row>
    <row r="160" spans="1:2">
      <c r="A160" s="2" t="s">
        <v>158</v>
      </c>
      <c r="B160">
        <f>Valor_mercado_millones!B160/Valor_mercado_millones!B159-1</f>
        <v>0.13653646421106158</v>
      </c>
    </row>
    <row r="161" spans="1:2">
      <c r="A161" s="2" t="s">
        <v>159</v>
      </c>
      <c r="B161">
        <f>Valor_mercado_millones!B161/Valor_mercado_millones!B160-1</f>
        <v>4.0642241249359223E-2</v>
      </c>
    </row>
    <row r="162" spans="1:2">
      <c r="A162" s="2" t="s">
        <v>160</v>
      </c>
      <c r="B162">
        <f>Valor_mercado_millones!B162/Valor_mercado_millones!B161-1</f>
        <v>0.7377592241518236</v>
      </c>
    </row>
    <row r="163" spans="1:2">
      <c r="A163" s="2" t="s">
        <v>161</v>
      </c>
      <c r="B163">
        <f>Valor_mercado_millones!B163/Valor_mercado_millones!B162-1</f>
        <v>0.32952405265091023</v>
      </c>
    </row>
    <row r="164" spans="1:2">
      <c r="A164" s="2" t="s">
        <v>162</v>
      </c>
      <c r="B164">
        <f>Valor_mercado_millones!B164/Valor_mercado_millones!B163-1</f>
        <v>7.8578439497871226</v>
      </c>
    </row>
    <row r="165" spans="1:2">
      <c r="A165" s="2" t="s">
        <v>163</v>
      </c>
      <c r="B165">
        <f>Valor_mercado_millones!B165/Valor_mercado_millones!B164-1</f>
        <v>0.61185591879756385</v>
      </c>
    </row>
    <row r="166" spans="1:2">
      <c r="A166" s="2" t="s">
        <v>164</v>
      </c>
      <c r="B166">
        <f>Valor_mercado_millones!B166/Valor_mercado_millones!B165-1</f>
        <v>-0.64389163447684128</v>
      </c>
    </row>
    <row r="167" spans="1:2">
      <c r="A167" s="2" t="s">
        <v>165</v>
      </c>
    </row>
    <row r="168" spans="1:2">
      <c r="A168" s="2" t="s">
        <v>166</v>
      </c>
      <c r="B168">
        <f>Valor_mercado_millones!B168/Valor_mercado_millones!B167-1</f>
        <v>0.62846441947565546</v>
      </c>
    </row>
    <row r="169" spans="1:2">
      <c r="A169" s="2" t="s">
        <v>167</v>
      </c>
      <c r="B169">
        <f>Valor_mercado_millones!B169/Valor_mercado_millones!B168-1</f>
        <v>0.32457595075388723</v>
      </c>
    </row>
    <row r="170" spans="1:2">
      <c r="A170" s="2" t="s">
        <v>168</v>
      </c>
      <c r="B170">
        <f>Valor_mercado_millones!B170/Valor_mercado_millones!B169-1</f>
        <v>-0.19511795658863096</v>
      </c>
    </row>
    <row r="171" spans="1:2">
      <c r="A171" s="2" t="s">
        <v>169</v>
      </c>
      <c r="B171">
        <f>Valor_mercado_millones!B171/Valor_mercado_millones!B170-1</f>
        <v>-0.27984769233137807</v>
      </c>
    </row>
    <row r="172" spans="1:2">
      <c r="A172" s="2" t="s">
        <v>170</v>
      </c>
      <c r="B172">
        <f>Valor_mercado_millones!B172/Valor_mercado_millones!B171-1</f>
        <v>-7.4241446095019148E-2</v>
      </c>
    </row>
    <row r="173" spans="1:2">
      <c r="A173" s="2" t="s">
        <v>171</v>
      </c>
      <c r="B173">
        <f>Valor_mercado_millones!B173/Valor_mercado_millones!B172-1</f>
        <v>8.7866108798717812E-2</v>
      </c>
    </row>
    <row r="174" spans="1:2">
      <c r="A174" s="2" t="s">
        <v>172</v>
      </c>
      <c r="B174">
        <f>Valor_mercado_millones!B174/Valor_mercado_millones!B173-1</f>
        <v>0.23657351661089976</v>
      </c>
    </row>
    <row r="175" spans="1:2">
      <c r="A175" s="2" t="s">
        <v>173</v>
      </c>
      <c r="B175">
        <f>Valor_mercado_millones!B175/Valor_mercado_millones!B174-1</f>
        <v>8.0870917576526091E-2</v>
      </c>
    </row>
    <row r="176" spans="1:2">
      <c r="A176" s="2" t="s">
        <v>174</v>
      </c>
      <c r="B176">
        <f>Valor_mercado_millones!B176/Valor_mercado_millones!B175-1</f>
        <v>0.40047961631365392</v>
      </c>
    </row>
    <row r="177" spans="1:2">
      <c r="A177" s="2" t="s">
        <v>175</v>
      </c>
      <c r="B177">
        <f>Valor_mercado_millones!B177/Valor_mercado_millones!B176-1</f>
        <v>-0.46472602740340874</v>
      </c>
    </row>
    <row r="178" spans="1:2">
      <c r="A178" s="2" t="s">
        <v>176</v>
      </c>
    </row>
    <row r="179" spans="1:2">
      <c r="A179" s="2" t="s">
        <v>177</v>
      </c>
      <c r="B179">
        <f>Valor_mercado_millones!B179/Valor_mercado_millones!B178-1</f>
        <v>0</v>
      </c>
    </row>
    <row r="180" spans="1:2">
      <c r="A180" s="2" t="s">
        <v>178</v>
      </c>
      <c r="B180">
        <f>Valor_mercado_millones!B180/Valor_mercado_millones!B179-1</f>
        <v>-3.6167627974044714E-2</v>
      </c>
    </row>
    <row r="181" spans="1:2">
      <c r="A181" s="2" t="s">
        <v>179</v>
      </c>
      <c r="B181">
        <f>Valor_mercado_millones!B181/Valor_mercado_millones!B180-1</f>
        <v>-0.1676455330517479</v>
      </c>
    </row>
    <row r="182" spans="1:2">
      <c r="A182" s="2" t="s">
        <v>180</v>
      </c>
      <c r="B182">
        <f>Valor_mercado_millones!B182/Valor_mercado_millones!B181-1</f>
        <v>-0.13466178853459232</v>
      </c>
    </row>
    <row r="183" spans="1:2">
      <c r="A183" s="2" t="s">
        <v>181</v>
      </c>
      <c r="B183">
        <f>Valor_mercado_millones!B183/Valor_mercado_millones!B182-1</f>
        <v>0.22339232303090739</v>
      </c>
    </row>
    <row r="184" spans="1:2">
      <c r="A184" s="2" t="s">
        <v>182</v>
      </c>
      <c r="B184">
        <f>Valor_mercado_millones!B184/Valor_mercado_millones!B183-1</f>
        <v>0.12216973123482577</v>
      </c>
    </row>
    <row r="185" spans="1:2">
      <c r="A185" s="2" t="s">
        <v>183</v>
      </c>
      <c r="B185">
        <f>Valor_mercado_millones!B185/Valor_mercado_millones!B184-1</f>
        <v>0.27726363735051263</v>
      </c>
    </row>
    <row r="186" spans="1:2">
      <c r="A186" s="2" t="s">
        <v>184</v>
      </c>
      <c r="B186">
        <f>Valor_mercado_millones!B186/Valor_mercado_millones!B185-1</f>
        <v>0.40577965081276357</v>
      </c>
    </row>
    <row r="187" spans="1:2">
      <c r="A187" s="2" t="s">
        <v>185</v>
      </c>
      <c r="B187">
        <f>Valor_mercado_millones!B187/Valor_mercado_millones!B186-1</f>
        <v>-1.1134903640257043E-2</v>
      </c>
    </row>
    <row r="188" spans="1:2">
      <c r="A188" s="2" t="s">
        <v>186</v>
      </c>
      <c r="B188">
        <f>Valor_mercado_millones!B188/Valor_mercado_millones!B187-1</f>
        <v>-0.21853566019917781</v>
      </c>
    </row>
    <row r="189" spans="1:2">
      <c r="A189" s="2" t="s">
        <v>187</v>
      </c>
    </row>
    <row r="190" spans="1:2">
      <c r="A190" s="2" t="s">
        <v>188</v>
      </c>
      <c r="B190">
        <f>Valor_mercado_millones!B190/Valor_mercado_millones!B189-1</f>
        <v>1.2942097828564525</v>
      </c>
    </row>
    <row r="191" spans="1:2">
      <c r="A191" s="2" t="s">
        <v>189</v>
      </c>
      <c r="B191">
        <f>Valor_mercado_millones!B191/Valor_mercado_millones!B190-1</f>
        <v>0.15651710405337216</v>
      </c>
    </row>
    <row r="192" spans="1:2">
      <c r="A192" s="2" t="s">
        <v>190</v>
      </c>
      <c r="B192">
        <f>Valor_mercado_millones!B192/Valor_mercado_millones!B191-1</f>
        <v>-0.34810787096371998</v>
      </c>
    </row>
    <row r="193" spans="1:2">
      <c r="A193" s="2" t="s">
        <v>191</v>
      </c>
      <c r="B193">
        <f>Valor_mercado_millones!B193/Valor_mercado_millones!B192-1</f>
        <v>0.69032466748830945</v>
      </c>
    </row>
    <row r="194" spans="1:2">
      <c r="A194" s="2" t="s">
        <v>192</v>
      </c>
      <c r="B194">
        <f>Valor_mercado_millones!B194/Valor_mercado_millones!B193-1</f>
        <v>0.82056396905432183</v>
      </c>
    </row>
    <row r="195" spans="1:2">
      <c r="A195" s="2" t="s">
        <v>193</v>
      </c>
      <c r="B195">
        <f>Valor_mercado_millones!B195/Valor_mercado_millones!B194-1</f>
        <v>0.86058851865416863</v>
      </c>
    </row>
    <row r="196" spans="1:2">
      <c r="A196" s="2" t="s">
        <v>194</v>
      </c>
      <c r="B196">
        <f>Valor_mercado_millones!B196/Valor_mercado_millones!B195-1</f>
        <v>0.14086313897954139</v>
      </c>
    </row>
    <row r="197" spans="1:2">
      <c r="A197" s="2" t="s">
        <v>195</v>
      </c>
      <c r="B197">
        <f>Valor_mercado_millones!B197/Valor_mercado_millones!B196-1</f>
        <v>0.86864015707724884</v>
      </c>
    </row>
    <row r="198" spans="1:2">
      <c r="A198" s="2" t="s">
        <v>196</v>
      </c>
      <c r="B198">
        <f>Valor_mercado_millones!B198/Valor_mercado_millones!B197-1</f>
        <v>-0.20591200222120254</v>
      </c>
    </row>
    <row r="199" spans="1:2">
      <c r="A199" s="2" t="s">
        <v>197</v>
      </c>
      <c r="B199">
        <f>Valor_mercado_millones!B199/Valor_mercado_millones!B198-1</f>
        <v>-0.45330615334693958</v>
      </c>
    </row>
    <row r="200" spans="1:2">
      <c r="A200" s="2" t="s">
        <v>198</v>
      </c>
    </row>
    <row r="201" spans="1:2">
      <c r="A201" s="2" t="s">
        <v>199</v>
      </c>
      <c r="B201">
        <f>Valor_mercado_millones!B201/Valor_mercado_millones!B200-1</f>
        <v>0.23762376237623761</v>
      </c>
    </row>
    <row r="202" spans="1:2">
      <c r="A202" s="2" t="s">
        <v>200</v>
      </c>
      <c r="B202">
        <f>Valor_mercado_millones!B202/Valor_mercado_millones!B201-1</f>
        <v>-3.3379310344827551E-2</v>
      </c>
    </row>
    <row r="203" spans="1:2">
      <c r="A203" s="2" t="s">
        <v>201</v>
      </c>
      <c r="B203">
        <f>Valor_mercado_millones!B203/Valor_mercado_millones!B202-1</f>
        <v>0.20976027397260277</v>
      </c>
    </row>
    <row r="204" spans="1:2">
      <c r="A204" s="2" t="s">
        <v>202</v>
      </c>
      <c r="B204">
        <f>Valor_mercado_millones!B204/Valor_mercado_millones!B203-1</f>
        <v>-6.8412361405991939E-2</v>
      </c>
    </row>
    <row r="205" spans="1:2">
      <c r="A205" s="2" t="s">
        <v>203</v>
      </c>
      <c r="B205">
        <f>Valor_mercado_millones!B205/Valor_mercado_millones!B204-1</f>
        <v>0.1445935679918966</v>
      </c>
    </row>
    <row r="206" spans="1:2">
      <c r="A206" s="2" t="s">
        <v>204</v>
      </c>
      <c r="B206">
        <f>Valor_mercado_millones!B206/Valor_mercado_millones!B205-1</f>
        <v>-0.2893805309734514</v>
      </c>
    </row>
    <row r="207" spans="1:2">
      <c r="A207" s="2" t="s">
        <v>205</v>
      </c>
      <c r="B207">
        <f>Valor_mercado_millones!B207/Valor_mercado_millones!B206-1</f>
        <v>0.30292652552926547</v>
      </c>
    </row>
    <row r="208" spans="1:2">
      <c r="A208" s="2" t="s">
        <v>206</v>
      </c>
      <c r="B208">
        <f>Valor_mercado_millones!B208/Valor_mercado_millones!B207-1</f>
        <v>8.5543608124253323E-2</v>
      </c>
    </row>
    <row r="209" spans="1:2">
      <c r="A209" s="2" t="s">
        <v>207</v>
      </c>
      <c r="B209">
        <f>Valor_mercado_millones!B209/Valor_mercado_millones!B208-1</f>
        <v>0.14725952014087618</v>
      </c>
    </row>
    <row r="210" spans="1:2">
      <c r="A210" s="2" t="s">
        <v>208</v>
      </c>
      <c r="B210">
        <f>Valor_mercado_millones!B210/Valor_mercado_millones!B209-1</f>
        <v>-0.13679969301611661</v>
      </c>
    </row>
    <row r="211" spans="1:2">
      <c r="A211" s="2" t="s">
        <v>209</v>
      </c>
    </row>
    <row r="212" spans="1:2">
      <c r="A212" s="2" t="s">
        <v>210</v>
      </c>
      <c r="B212">
        <f>Valor_mercado_millones!B212/Valor_mercado_millones!B211-1</f>
        <v>0.42498309342092555</v>
      </c>
    </row>
    <row r="213" spans="1:2">
      <c r="A213" s="2" t="s">
        <v>211</v>
      </c>
      <c r="B213">
        <f>Valor_mercado_millones!B213/Valor_mercado_millones!B212-1</f>
        <v>0.3145762711864406</v>
      </c>
    </row>
    <row r="214" spans="1:2">
      <c r="A214" s="2" t="s">
        <v>212</v>
      </c>
      <c r="B214">
        <f>Valor_mercado_millones!B214/Valor_mercado_millones!B213-1</f>
        <v>2.6250644662197065E-2</v>
      </c>
    </row>
    <row r="215" spans="1:2">
      <c r="A215" s="2" t="s">
        <v>213</v>
      </c>
      <c r="B215">
        <f>Valor_mercado_millones!B215/Valor_mercado_millones!B214-1</f>
        <v>-3.9851248806472728E-2</v>
      </c>
    </row>
    <row r="216" spans="1:2">
      <c r="A216" s="2" t="s">
        <v>214</v>
      </c>
      <c r="B216">
        <f>Valor_mercado_millones!B216/Valor_mercado_millones!B215-1</f>
        <v>3.313095362713292E-2</v>
      </c>
    </row>
    <row r="217" spans="1:2">
      <c r="A217" s="2" t="s">
        <v>215</v>
      </c>
      <c r="B217">
        <f>Valor_mercado_millones!B217/Valor_mercado_millones!B216-1</f>
        <v>-0.1627235422260499</v>
      </c>
    </row>
    <row r="218" spans="1:2">
      <c r="A218" s="2" t="s">
        <v>216</v>
      </c>
      <c r="B218">
        <f>Valor_mercado_millones!B218/Valor_mercado_millones!B217-1</f>
        <v>0.19156531735947246</v>
      </c>
    </row>
    <row r="219" spans="1:2">
      <c r="A219" s="2" t="s">
        <v>217</v>
      </c>
      <c r="B219">
        <f>Valor_mercado_millones!B219/Valor_mercado_millones!B218-1</f>
        <v>9.536383486518063E-2</v>
      </c>
    </row>
    <row r="220" spans="1:2">
      <c r="A220" s="2" t="s">
        <v>218</v>
      </c>
      <c r="B220">
        <f>Valor_mercado_millones!B220/Valor_mercado_millones!B219-1</f>
        <v>0.17212924760094572</v>
      </c>
    </row>
    <row r="221" spans="1:2">
      <c r="A221" s="2" t="s">
        <v>219</v>
      </c>
      <c r="B221">
        <f>Valor_mercado_millones!B221/Valor_mercado_millones!B220-1</f>
        <v>-0.2629726309128303</v>
      </c>
    </row>
    <row r="222" spans="1:2">
      <c r="A222" s="2" t="s">
        <v>220</v>
      </c>
    </row>
    <row r="223" spans="1:2">
      <c r="A223" s="2" t="s">
        <v>221</v>
      </c>
      <c r="B223">
        <f>Valor_mercado_millones!B223/Valor_mercado_millones!B222-1</f>
        <v>0.47036569987389654</v>
      </c>
    </row>
    <row r="224" spans="1:2">
      <c r="A224" s="2" t="s">
        <v>222</v>
      </c>
      <c r="B224">
        <f>Valor_mercado_millones!B224/Valor_mercado_millones!B223-1</f>
        <v>0.55574614065180095</v>
      </c>
    </row>
    <row r="225" spans="1:2">
      <c r="A225" s="2" t="s">
        <v>223</v>
      </c>
      <c r="B225">
        <f>Valor_mercado_millones!B225/Valor_mercado_millones!B224-1</f>
        <v>0.22877618522601995</v>
      </c>
    </row>
    <row r="226" spans="1:2">
      <c r="A226" s="2" t="s">
        <v>224</v>
      </c>
      <c r="B226">
        <f>Valor_mercado_millones!B226/Valor_mercado_millones!B225-1</f>
        <v>-0.26828174069089283</v>
      </c>
    </row>
    <row r="227" spans="1:2">
      <c r="A227" s="2" t="s">
        <v>225</v>
      </c>
      <c r="B227">
        <f>Valor_mercado_millones!B227/Valor_mercado_millones!B226-1</f>
        <v>1.7780502759043859E-2</v>
      </c>
    </row>
    <row r="228" spans="1:2">
      <c r="A228" s="2" t="s">
        <v>226</v>
      </c>
      <c r="B228">
        <f>Valor_mercado_millones!B228/Valor_mercado_millones!B227-1</f>
        <v>-0.10421686746987968</v>
      </c>
    </row>
    <row r="229" spans="1:2">
      <c r="A229" s="2" t="s">
        <v>227</v>
      </c>
      <c r="B229">
        <f>Valor_mercado_millones!B229/Valor_mercado_millones!B228-1</f>
        <v>0.11835911230665741</v>
      </c>
    </row>
    <row r="230" spans="1:2">
      <c r="A230" s="2" t="s">
        <v>228</v>
      </c>
      <c r="B230">
        <f>Valor_mercado_millones!B230/Valor_mercado_millones!B229-1</f>
        <v>0.27360192423331364</v>
      </c>
    </row>
    <row r="231" spans="1:2">
      <c r="A231" s="2" t="s">
        <v>229</v>
      </c>
      <c r="B231">
        <f>Valor_mercado_millones!B231/Valor_mercado_millones!B230-1</f>
        <v>0.14919735599622275</v>
      </c>
    </row>
    <row r="232" spans="1:2">
      <c r="A232" s="2" t="s">
        <v>230</v>
      </c>
      <c r="B232">
        <f>Valor_mercado_millones!B232/Valor_mercado_millones!B231-1</f>
        <v>-0.34059161873459332</v>
      </c>
    </row>
    <row r="233" spans="1:2">
      <c r="A233" s="2" t="s">
        <v>231</v>
      </c>
    </row>
    <row r="234" spans="1:2">
      <c r="A234" s="2" t="s">
        <v>232</v>
      </c>
      <c r="B234">
        <f>Valor_mercado_millones!B234/Valor_mercado_millones!B233-1</f>
        <v>0.12960760998810938</v>
      </c>
    </row>
    <row r="235" spans="1:2">
      <c r="A235" s="2" t="s">
        <v>233</v>
      </c>
      <c r="B235">
        <f>Valor_mercado_millones!B235/Valor_mercado_millones!B234-1</f>
        <v>-0.23473684210526313</v>
      </c>
    </row>
    <row r="236" spans="1:2">
      <c r="A236" s="2" t="s">
        <v>234</v>
      </c>
      <c r="B236">
        <f>Valor_mercado_millones!B236/Valor_mercado_millones!B235-1</f>
        <v>-0.40440165061898214</v>
      </c>
    </row>
    <row r="237" spans="1:2">
      <c r="A237" s="2" t="s">
        <v>235</v>
      </c>
    </row>
    <row r="238" spans="1:2">
      <c r="A238" s="2" t="s">
        <v>236</v>
      </c>
      <c r="B238">
        <f>Valor_mercado_millones!B238/Valor_mercado_millones!B237-1</f>
        <v>0.15092290988056467</v>
      </c>
    </row>
    <row r="239" spans="1:2">
      <c r="A239" s="2" t="s">
        <v>237</v>
      </c>
      <c r="B239">
        <f>Valor_mercado_millones!B239/Valor_mercado_millones!B238-1</f>
        <v>0.125</v>
      </c>
    </row>
    <row r="240" spans="1:2">
      <c r="A240" s="2" t="s">
        <v>238</v>
      </c>
      <c r="B240">
        <f>Valor_mercado_millones!B240/Valor_mercado_millones!B239-1</f>
        <v>-0.23522012578616347</v>
      </c>
    </row>
    <row r="241" spans="1:2">
      <c r="A241" s="2" t="s">
        <v>239</v>
      </c>
      <c r="B241">
        <f>Valor_mercado_millones!B241/Valor_mercado_millones!B240-1</f>
        <v>-0.1228070175438597</v>
      </c>
    </row>
    <row r="242" spans="1:2">
      <c r="A242" s="2" t="s">
        <v>240</v>
      </c>
      <c r="B242">
        <f>Valor_mercado_millones!B242/Valor_mercado_millones!B241-1</f>
        <v>0.5149999999999999</v>
      </c>
    </row>
    <row r="243" spans="1:2">
      <c r="A243" s="2" t="s">
        <v>241</v>
      </c>
      <c r="B243">
        <f>Valor_mercado_millones!B243/Valor_mercado_millones!B242-1</f>
        <v>0.45132013201320142</v>
      </c>
    </row>
    <row r="244" spans="1:2">
      <c r="A244" s="2" t="s">
        <v>242</v>
      </c>
      <c r="B244">
        <f>Valor_mercado_millones!B244/Valor_mercado_millones!B243-1</f>
        <v>0.26833428084138711</v>
      </c>
    </row>
    <row r="245" spans="1:2">
      <c r="A245" s="2" t="s">
        <v>243</v>
      </c>
      <c r="B245">
        <f>Valor_mercado_millones!B245/Valor_mercado_millones!B244-1</f>
        <v>-0.43455849394890189</v>
      </c>
    </row>
    <row r="246" spans="1:2">
      <c r="A246" s="2" t="s">
        <v>244</v>
      </c>
    </row>
    <row r="247" spans="1:2">
      <c r="A247" s="2" t="s">
        <v>245</v>
      </c>
      <c r="B247">
        <f>Valor_mercado_millones!B247/Valor_mercado_millones!B246-1</f>
        <v>0.15042809147068392</v>
      </c>
    </row>
    <row r="248" spans="1:2">
      <c r="A248" s="2" t="s">
        <v>246</v>
      </c>
      <c r="B248">
        <f>Valor_mercado_millones!B248/Valor_mercado_millones!B247-1</f>
        <v>0.17993405558172393</v>
      </c>
    </row>
    <row r="249" spans="1:2">
      <c r="A249" s="2" t="s">
        <v>247</v>
      </c>
      <c r="B249">
        <f>Valor_mercado_millones!B249/Valor_mercado_millones!B248-1</f>
        <v>-1.8443113772455111E-2</v>
      </c>
    </row>
    <row r="250" spans="1:2">
      <c r="A250" s="2" t="s">
        <v>248</v>
      </c>
      <c r="B250">
        <f>Valor_mercado_millones!B250/Valor_mercado_millones!B249-1</f>
        <v>-0.3922238490320481</v>
      </c>
    </row>
    <row r="251" spans="1:2">
      <c r="A251" s="2" t="s">
        <v>249</v>
      </c>
      <c r="B251">
        <f>Valor_mercado_millones!B251/Valor_mercado_millones!B250-1</f>
        <v>0.28961456102783734</v>
      </c>
    </row>
    <row r="252" spans="1:2">
      <c r="A252" s="2" t="s">
        <v>250</v>
      </c>
      <c r="B252">
        <f>Valor_mercado_millones!B252/Valor_mercado_millones!B251-1</f>
        <v>-0.28538812785388123</v>
      </c>
    </row>
    <row r="253" spans="1:2">
      <c r="A253" s="2" t="s">
        <v>251</v>
      </c>
      <c r="B253">
        <f>Valor_mercado_millones!B253/Valor_mercado_millones!B252-1</f>
        <v>0.46442056346209704</v>
      </c>
    </row>
    <row r="254" spans="1:2">
      <c r="A254" s="2" t="s">
        <v>252</v>
      </c>
      <c r="B254">
        <f>Valor_mercado_millones!B254/Valor_mercado_millones!B253-1</f>
        <v>0.70854819516065048</v>
      </c>
    </row>
    <row r="255" spans="1:2">
      <c r="A255" s="2" t="s">
        <v>253</v>
      </c>
      <c r="B255">
        <f>Valor_mercado_millones!B255/Valor_mercado_millones!B254-1</f>
        <v>0.19403331592083117</v>
      </c>
    </row>
    <row r="256" spans="1:2">
      <c r="A256" s="2" t="s">
        <v>254</v>
      </c>
      <c r="B256">
        <f>Valor_mercado_millones!B256/Valor_mercado_millones!B255-1</f>
        <v>-0.4009333074081276</v>
      </c>
    </row>
    <row r="257" spans="1:2">
      <c r="A257" s="2" t="s">
        <v>255</v>
      </c>
    </row>
    <row r="258" spans="1:2">
      <c r="A258" s="2" t="s">
        <v>256</v>
      </c>
      <c r="B258">
        <f>Valor_mercado_millones!B258/Valor_mercado_millones!B257-1</f>
        <v>-0.13751537515375156</v>
      </c>
    </row>
    <row r="259" spans="1:2">
      <c r="A259" s="2" t="s">
        <v>257</v>
      </c>
      <c r="B259">
        <f>Valor_mercado_millones!B259/Valor_mercado_millones!B258-1</f>
        <v>0.77723901882487167</v>
      </c>
    </row>
    <row r="260" spans="1:2">
      <c r="A260" s="2" t="s">
        <v>258</v>
      </c>
      <c r="B260">
        <f>Valor_mercado_millones!B260/Valor_mercado_millones!B259-1</f>
        <v>0.28438452896806288</v>
      </c>
    </row>
    <row r="261" spans="1:2">
      <c r="A261" s="2" t="s">
        <v>259</v>
      </c>
      <c r="B261">
        <f>Valor_mercado_millones!B261/Valor_mercado_millones!B260-1</f>
        <v>-0.1825565412970136</v>
      </c>
    </row>
    <row r="262" spans="1:2">
      <c r="A262" s="2" t="s">
        <v>260</v>
      </c>
      <c r="B262">
        <f>Valor_mercado_millones!B262/Valor_mercado_millones!B261-1</f>
        <v>-0.12824824212778962</v>
      </c>
    </row>
    <row r="263" spans="1:2">
      <c r="A263" s="2" t="s">
        <v>261</v>
      </c>
      <c r="B263">
        <f>Valor_mercado_millones!B263/Valor_mercado_millones!B262-1</f>
        <v>-2.8581448360512018E-2</v>
      </c>
    </row>
    <row r="264" spans="1:2">
      <c r="A264" s="2" t="s">
        <v>262</v>
      </c>
      <c r="B264">
        <f>Valor_mercado_millones!B264/Valor_mercado_millones!B263-1</f>
        <v>-0.21101083032490975</v>
      </c>
    </row>
    <row r="265" spans="1:2">
      <c r="A265" s="2" t="s">
        <v>263</v>
      </c>
      <c r="B265">
        <f>Valor_mercado_millones!B265/Valor_mercado_millones!B264-1</f>
        <v>0.68725692061313204</v>
      </c>
    </row>
    <row r="266" spans="1:2">
      <c r="A266" s="2" t="s">
        <v>264</v>
      </c>
      <c r="B266">
        <f>Valor_mercado_millones!B266/Valor_mercado_millones!B265-1</f>
        <v>-0.29803389830508475</v>
      </c>
    </row>
    <row r="267" spans="1:2">
      <c r="A267" s="2" t="s">
        <v>265</v>
      </c>
      <c r="B267">
        <f>Valor_mercado_millones!B267/Valor_mercado_millones!B266-1</f>
        <v>-0.23662352713926982</v>
      </c>
    </row>
    <row r="268" spans="1:2">
      <c r="A268" s="2" t="s">
        <v>266</v>
      </c>
    </row>
    <row r="269" spans="1:2">
      <c r="A269" s="2" t="s">
        <v>267</v>
      </c>
      <c r="B269">
        <f>Valor_mercado_millones!B269/Valor_mercado_millones!B268-1</f>
        <v>2.9164161154539903E-2</v>
      </c>
    </row>
    <row r="270" spans="1:2">
      <c r="A270" s="2" t="s">
        <v>268</v>
      </c>
      <c r="B270">
        <f>Valor_mercado_millones!B270/Valor_mercado_millones!B269-1</f>
        <v>0.38884019865614983</v>
      </c>
    </row>
    <row r="271" spans="1:2">
      <c r="A271" s="2" t="s">
        <v>269</v>
      </c>
      <c r="B271">
        <f>Valor_mercado_millones!B271/Valor_mercado_millones!B270-1</f>
        <v>0.17690366007572567</v>
      </c>
    </row>
    <row r="272" spans="1:2">
      <c r="A272" s="2" t="s">
        <v>270</v>
      </c>
      <c r="B272">
        <f>Valor_mercado_millones!B272/Valor_mercado_millones!B271-1</f>
        <v>-9.4727435210009148E-3</v>
      </c>
    </row>
    <row r="273" spans="1:2">
      <c r="A273" s="2" t="s">
        <v>271</v>
      </c>
      <c r="B273">
        <f>Valor_mercado_millones!B273/Valor_mercado_millones!B272-1</f>
        <v>0.31595092024539873</v>
      </c>
    </row>
    <row r="274" spans="1:2">
      <c r="A274" s="2" t="s">
        <v>272</v>
      </c>
      <c r="B274">
        <f>Valor_mercado_millones!B274/Valor_mercado_millones!B273-1</f>
        <v>0.22459893048128343</v>
      </c>
    </row>
    <row r="275" spans="1:2">
      <c r="A275" s="2" t="s">
        <v>273</v>
      </c>
      <c r="B275">
        <f>Valor_mercado_millones!B275/Valor_mercado_millones!B274-1</f>
        <v>0.33881984100324702</v>
      </c>
    </row>
    <row r="276" spans="1:2">
      <c r="A276" s="2" t="s">
        <v>274</v>
      </c>
      <c r="B276">
        <f>Valor_mercado_millones!B276/Valor_mercado_millones!B275-1</f>
        <v>0.26001505394329683</v>
      </c>
    </row>
    <row r="277" spans="1:2">
      <c r="A277" s="2" t="s">
        <v>275</v>
      </c>
      <c r="B277">
        <f>Valor_mercado_millones!B277/Valor_mercado_millones!B276-1</f>
        <v>0.15584760387627772</v>
      </c>
    </row>
    <row r="278" spans="1:2">
      <c r="A278" s="2" t="s">
        <v>276</v>
      </c>
      <c r="B278">
        <f>Valor_mercado_millones!B278/Valor_mercado_millones!B277-1</f>
        <v>-0.13896864591707825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FF17-F7A3-4238-9484-2DDAD97CBC2E}">
  <dimension ref="A1:B278"/>
  <sheetViews>
    <sheetView topLeftCell="A252" zoomScale="160" zoomScaleNormal="160" workbookViewId="0">
      <selection activeCell="E263" sqref="E263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Utilidad_Millones!B2/'Capital_accs._Millones '!B2</f>
        <v>0.193337441178315</v>
      </c>
    </row>
    <row r="3" spans="1:2">
      <c r="A3" s="2" t="s">
        <v>1</v>
      </c>
      <c r="B3">
        <f>Utilidad_Millones!B3/'Capital_accs._Millones '!B3</f>
        <v>0.16399230746116167</v>
      </c>
    </row>
    <row r="4" spans="1:2">
      <c r="A4" s="2" t="s">
        <v>2</v>
      </c>
      <c r="B4">
        <f>Utilidad_Millones!B4/'Capital_accs._Millones '!B4</f>
        <v>0.14441584784431266</v>
      </c>
    </row>
    <row r="5" spans="1:2">
      <c r="A5" s="2" t="s">
        <v>3</v>
      </c>
      <c r="B5">
        <f>Utilidad_Millones!B5/'Capital_accs._Millones '!B5</f>
        <v>0.17078917156859477</v>
      </c>
    </row>
    <row r="6" spans="1:2">
      <c r="A6" s="2" t="s">
        <v>4</v>
      </c>
      <c r="B6">
        <f>Utilidad_Millones!B6/'Capital_accs._Millones '!B6</f>
        <v>0.15293498801846911</v>
      </c>
    </row>
    <row r="7" spans="1:2">
      <c r="A7" s="2" t="s">
        <v>5</v>
      </c>
      <c r="B7">
        <f>Utilidad_Millones!B7/'Capital_accs._Millones '!B7</f>
        <v>0.15276108813139699</v>
      </c>
    </row>
    <row r="8" spans="1:2">
      <c r="A8" s="2" t="s">
        <v>6</v>
      </c>
      <c r="B8">
        <f>Utilidad_Millones!B8/'Capital_accs._Millones '!B8</f>
        <v>0.12145929647808862</v>
      </c>
    </row>
    <row r="9" spans="1:2">
      <c r="A9" s="2" t="s">
        <v>7</v>
      </c>
      <c r="B9">
        <f>Utilidad_Millones!B9/'Capital_accs._Millones '!B9</f>
        <v>8.2618836289691563E-2</v>
      </c>
    </row>
    <row r="10" spans="1:2">
      <c r="A10" s="2" t="s">
        <v>8</v>
      </c>
      <c r="B10">
        <f>Utilidad_Millones!B10/'Capital_accs._Millones '!B10</f>
        <v>5.7722656417743802E-2</v>
      </c>
    </row>
    <row r="11" spans="1:2">
      <c r="A11" s="2" t="s">
        <v>9</v>
      </c>
      <c r="B11">
        <f>Utilidad_Millones!B11/'Capital_accs._Millones '!B11</f>
        <v>0.17313885429565212</v>
      </c>
    </row>
    <row r="12" spans="1:2">
      <c r="A12" s="2" t="s">
        <v>10</v>
      </c>
      <c r="B12">
        <f>Utilidad_Millones!B12/'Capital_accs._Millones '!B12</f>
        <v>0.20298099016376514</v>
      </c>
    </row>
    <row r="13" spans="1:2">
      <c r="A13" s="2" t="s">
        <v>11</v>
      </c>
      <c r="B13">
        <f>Utilidad_Millones!B13/'Capital_accs._Millones '!B13</f>
        <v>0.18616499022252242</v>
      </c>
    </row>
    <row r="14" spans="1:2">
      <c r="A14" s="2" t="s">
        <v>12</v>
      </c>
      <c r="B14">
        <f>Utilidad_Millones!B14/'Capital_accs._Millones '!B14</f>
        <v>0.20943654172290865</v>
      </c>
    </row>
    <row r="15" spans="1:2">
      <c r="A15" s="2" t="s">
        <v>13</v>
      </c>
      <c r="B15">
        <f>Utilidad_Millones!B15/'Capital_accs._Millones '!B15</f>
        <v>0.20562837150891575</v>
      </c>
    </row>
    <row r="16" spans="1:2">
      <c r="A16" s="2" t="s">
        <v>14</v>
      </c>
      <c r="B16">
        <f>Utilidad_Millones!B16/'Capital_accs._Millones '!B16</f>
        <v>0.2440212508906168</v>
      </c>
    </row>
    <row r="17" spans="1:2">
      <c r="A17" s="2" t="s">
        <v>15</v>
      </c>
      <c r="B17">
        <f>Utilidad_Millones!B17/'Capital_accs._Millones '!B17</f>
        <v>0.21783489937718256</v>
      </c>
    </row>
    <row r="18" spans="1:2">
      <c r="A18" s="2" t="s">
        <v>16</v>
      </c>
      <c r="B18">
        <f>Utilidad_Millones!B18/'Capital_accs._Millones '!B18</f>
        <v>0.20592573889007015</v>
      </c>
    </row>
    <row r="19" spans="1:2">
      <c r="A19" s="2" t="s">
        <v>17</v>
      </c>
      <c r="B19">
        <f>Utilidad_Millones!B19/'Capital_accs._Millones '!B19</f>
        <v>0.16758809978924669</v>
      </c>
    </row>
    <row r="20" spans="1:2">
      <c r="A20" s="2" t="s">
        <v>18</v>
      </c>
      <c r="B20">
        <f>Utilidad_Millones!B20/'Capital_accs._Millones '!B20</f>
        <v>-7.9347442374578248E-2</v>
      </c>
    </row>
    <row r="21" spans="1:2">
      <c r="A21" s="2" t="s">
        <v>19</v>
      </c>
      <c r="B21">
        <f>Utilidad_Millones!B21/'Capital_accs._Millones '!B21</f>
        <v>-7.3034044793325648E-2</v>
      </c>
    </row>
    <row r="22" spans="1:2">
      <c r="A22" s="2" t="s">
        <v>20</v>
      </c>
      <c r="B22">
        <f>Utilidad_Millones!B22/'Capital_accs._Millones '!B22</f>
        <v>0.12411260533302551</v>
      </c>
    </row>
    <row r="23" spans="1:2">
      <c r="A23" s="2" t="s">
        <v>21</v>
      </c>
      <c r="B23">
        <f>Utilidad_Millones!B23/'Capital_accs._Millones '!B23</f>
        <v>4.9478356753088863E-3</v>
      </c>
    </row>
    <row r="24" spans="1:2">
      <c r="A24" s="2" t="s">
        <v>22</v>
      </c>
      <c r="B24">
        <f>Utilidad_Millones!B24/'Capital_accs._Millones '!B24</f>
        <v>4.5438548124879817E-2</v>
      </c>
    </row>
    <row r="25" spans="1:2">
      <c r="A25" s="2" t="s">
        <v>23</v>
      </c>
      <c r="B25">
        <f>Utilidad_Millones!B25/'Capital_accs._Millones '!B25</f>
        <v>9.5033945348640236E-2</v>
      </c>
    </row>
    <row r="26" spans="1:2">
      <c r="A26" s="2" t="s">
        <v>24</v>
      </c>
      <c r="B26">
        <f>Utilidad_Millones!B26/'Capital_accs._Millones '!B26</f>
        <v>0.12200795189707946</v>
      </c>
    </row>
    <row r="27" spans="1:2">
      <c r="A27" s="2" t="s">
        <v>25</v>
      </c>
      <c r="B27">
        <f>Utilidad_Millones!B27/'Capital_accs._Millones '!B27</f>
        <v>8.4673699988469964E-2</v>
      </c>
    </row>
    <row r="28" spans="1:2">
      <c r="A28" s="2" t="s">
        <v>26</v>
      </c>
      <c r="B28">
        <f>Utilidad_Millones!B28/'Capital_accs._Millones '!B28</f>
        <v>7.320074258494394E-2</v>
      </c>
    </row>
    <row r="29" spans="1:2">
      <c r="A29" s="2" t="s">
        <v>27</v>
      </c>
      <c r="B29">
        <f>Utilidad_Millones!B29/'Capital_accs._Millones '!B29</f>
        <v>7.9960988077822051E-2</v>
      </c>
    </row>
    <row r="30" spans="1:2">
      <c r="A30" s="2" t="s">
        <v>28</v>
      </c>
      <c r="B30">
        <f>Utilidad_Millones!B30/'Capital_accs._Millones '!B30</f>
        <v>7.0655151399498919E-2</v>
      </c>
    </row>
    <row r="31" spans="1:2">
      <c r="A31" s="2" t="s">
        <v>29</v>
      </c>
      <c r="B31">
        <f>Utilidad_Millones!B31/'Capital_accs._Millones '!B31</f>
        <v>1.99270867133668E-2</v>
      </c>
    </row>
    <row r="32" spans="1:2">
      <c r="A32" s="2" t="s">
        <v>30</v>
      </c>
      <c r="B32">
        <f>Utilidad_Millones!B32/'Capital_accs._Millones '!B32</f>
        <v>3.3532399682782418E-2</v>
      </c>
    </row>
    <row r="33" spans="1:2">
      <c r="A33" s="2" t="s">
        <v>31</v>
      </c>
      <c r="B33">
        <f>Utilidad_Millones!B33/'Capital_accs._Millones '!B33</f>
        <v>6.6339281427994543E-2</v>
      </c>
    </row>
    <row r="34" spans="1:2">
      <c r="A34" s="2" t="s">
        <v>32</v>
      </c>
      <c r="B34">
        <f>Utilidad_Millones!B34/'Capital_accs._Millones '!B34</f>
        <v>7.0495576777856298E-2</v>
      </c>
    </row>
    <row r="35" spans="1:2">
      <c r="A35" s="2" t="s">
        <v>33</v>
      </c>
      <c r="B35">
        <f>Utilidad_Millones!B35/'Capital_accs._Millones '!B35</f>
        <v>1.3450225808129557</v>
      </c>
    </row>
    <row r="36" spans="1:2">
      <c r="A36" s="2" t="s">
        <v>34</v>
      </c>
      <c r="B36">
        <f>Utilidad_Millones!B36/'Capital_accs._Millones '!B36</f>
        <v>0.35523922994920676</v>
      </c>
    </row>
    <row r="37" spans="1:2">
      <c r="A37" s="2" t="s">
        <v>35</v>
      </c>
      <c r="B37">
        <f>Utilidad_Millones!B37/'Capital_accs._Millones '!B37</f>
        <v>0.2711973424070443</v>
      </c>
    </row>
    <row r="38" spans="1:2">
      <c r="A38" s="2" t="s">
        <v>36</v>
      </c>
      <c r="B38">
        <f>Utilidad_Millones!B38/'Capital_accs._Millones '!B38</f>
        <v>0.12848216085466641</v>
      </c>
    </row>
    <row r="39" spans="1:2">
      <c r="A39" s="2" t="s">
        <v>37</v>
      </c>
      <c r="B39">
        <f>Utilidad_Millones!B39/'Capital_accs._Millones '!B39</f>
        <v>0.25741917463864256</v>
      </c>
    </row>
    <row r="40" spans="1:2">
      <c r="A40" s="2" t="s">
        <v>38</v>
      </c>
      <c r="B40">
        <f>Utilidad_Millones!B40/'Capital_accs._Millones '!B40</f>
        <v>0.15755913609873157</v>
      </c>
    </row>
    <row r="41" spans="1:2">
      <c r="A41" s="2" t="s">
        <v>39</v>
      </c>
      <c r="B41">
        <f>Utilidad_Millones!B41/'Capital_accs._Millones '!B41</f>
        <v>0.10233218301235668</v>
      </c>
    </row>
    <row r="42" spans="1:2">
      <c r="A42" s="2" t="s">
        <v>40</v>
      </c>
      <c r="B42">
        <f>Utilidad_Millones!B42/'Capital_accs._Millones '!B42</f>
        <v>1.4163025463311738E-3</v>
      </c>
    </row>
    <row r="43" spans="1:2">
      <c r="A43" s="2" t="s">
        <v>41</v>
      </c>
      <c r="B43">
        <f>Utilidad_Millones!B43/'Capital_accs._Millones '!B43</f>
        <v>-4.1674812642554578E-2</v>
      </c>
    </row>
    <row r="44" spans="1:2">
      <c r="A44" s="2" t="s">
        <v>42</v>
      </c>
      <c r="B44">
        <f>Utilidad_Millones!B44/'Capital_accs._Millones '!B44</f>
        <v>0.36969022444815436</v>
      </c>
    </row>
    <row r="45" spans="1:2">
      <c r="A45" s="2" t="s">
        <v>43</v>
      </c>
      <c r="B45">
        <f>Utilidad_Millones!B45/'Capital_accs._Millones '!B45</f>
        <v>-4.5811942093335181E-2</v>
      </c>
    </row>
    <row r="46" spans="1:2">
      <c r="A46" s="2" t="s">
        <v>44</v>
      </c>
      <c r="B46">
        <f>Utilidad_Millones!B46/'Capital_accs._Millones '!B46</f>
        <v>0.241080835308143</v>
      </c>
    </row>
    <row r="47" spans="1:2">
      <c r="A47" s="2" t="s">
        <v>45</v>
      </c>
      <c r="B47">
        <f>Utilidad_Millones!B47/'Capital_accs._Millones '!B47</f>
        <v>0.17073170731707318</v>
      </c>
    </row>
    <row r="48" spans="1:2">
      <c r="A48" s="2" t="s">
        <v>46</v>
      </c>
      <c r="B48">
        <f>Utilidad_Millones!B48/'Capital_accs._Millones '!B48</f>
        <v>0.12547233463051996</v>
      </c>
    </row>
    <row r="49" spans="1:2">
      <c r="A49" s="2" t="s">
        <v>47</v>
      </c>
      <c r="B49">
        <f>Utilidad_Millones!B49/'Capital_accs._Millones '!B49</f>
        <v>0.11137434075076853</v>
      </c>
    </row>
    <row r="50" spans="1:2">
      <c r="A50" s="2" t="s">
        <v>48</v>
      </c>
      <c r="B50">
        <f>Utilidad_Millones!B50/'Capital_accs._Millones '!B50</f>
        <v>0.24295854129567857</v>
      </c>
    </row>
    <row r="51" spans="1:2">
      <c r="A51" s="2" t="s">
        <v>49</v>
      </c>
      <c r="B51">
        <f>Utilidad_Millones!B51/'Capital_accs._Millones '!B51</f>
        <v>0.21505155579888677</v>
      </c>
    </row>
    <row r="52" spans="1:2">
      <c r="A52" s="2" t="s">
        <v>50</v>
      </c>
      <c r="B52">
        <f>Utilidad_Millones!B52/'Capital_accs._Millones '!B52</f>
        <v>0.20622748327328874</v>
      </c>
    </row>
    <row r="53" spans="1:2">
      <c r="A53" s="2" t="s">
        <v>51</v>
      </c>
      <c r="B53">
        <f>Utilidad_Millones!B53/'Capital_accs._Millones '!B53</f>
        <v>0.16108346094946402</v>
      </c>
    </row>
    <row r="54" spans="1:2">
      <c r="A54" s="2" t="s">
        <v>52</v>
      </c>
      <c r="B54">
        <f>Utilidad_Millones!B54/'Capital_accs._Millones '!B54</f>
        <v>0.14272707084166111</v>
      </c>
    </row>
    <row r="55" spans="1:2">
      <c r="A55" s="2" t="s">
        <v>53</v>
      </c>
      <c r="B55">
        <f>Utilidad_Millones!B55/'Capital_accs._Millones '!B55</f>
        <v>0.16769884841992502</v>
      </c>
    </row>
    <row r="56" spans="1:2">
      <c r="A56" s="2" t="s">
        <v>54</v>
      </c>
      <c r="B56">
        <f>Utilidad_Millones!B56/'Capital_accs._Millones '!B56</f>
        <v>0.1465364644795846</v>
      </c>
    </row>
    <row r="57" spans="1:2">
      <c r="A57" s="2" t="s">
        <v>55</v>
      </c>
      <c r="B57">
        <f>Utilidad_Millones!B57/'Capital_accs._Millones '!B57</f>
        <v>0.20419723186207875</v>
      </c>
    </row>
    <row r="58" spans="1:2">
      <c r="A58" s="2" t="s">
        <v>56</v>
      </c>
      <c r="B58">
        <f>Utilidad_Millones!B58/'Capital_accs._Millones '!B58</f>
        <v>9.5297202876113193E-2</v>
      </c>
    </row>
    <row r="59" spans="1:2">
      <c r="A59" s="2" t="s">
        <v>57</v>
      </c>
      <c r="B59">
        <f>Utilidad_Millones!B59/'Capital_accs._Millones '!B59</f>
        <v>0.10272761469247864</v>
      </c>
    </row>
    <row r="60" spans="1:2">
      <c r="A60" s="2" t="s">
        <v>58</v>
      </c>
      <c r="B60">
        <f>Utilidad_Millones!B60/'Capital_accs._Millones '!B60</f>
        <v>8.9808328150063829E-2</v>
      </c>
    </row>
    <row r="61" spans="1:2">
      <c r="A61" s="2" t="s">
        <v>59</v>
      </c>
      <c r="B61">
        <f>Utilidad_Millones!B61/'Capital_accs._Millones '!B61</f>
        <v>5.892069127036955E-2</v>
      </c>
    </row>
    <row r="62" spans="1:2">
      <c r="A62" s="2" t="s">
        <v>60</v>
      </c>
      <c r="B62">
        <f>Utilidad_Millones!B62/'Capital_accs._Millones '!B62</f>
        <v>8.0140131645645679E-2</v>
      </c>
    </row>
    <row r="63" spans="1:2">
      <c r="A63" s="2" t="s">
        <v>61</v>
      </c>
      <c r="B63">
        <f>Utilidad_Millones!B63/'Capital_accs._Millones '!B63</f>
        <v>6.8085683757059756E-2</v>
      </c>
    </row>
    <row r="64" spans="1:2">
      <c r="A64" s="2" t="s">
        <v>62</v>
      </c>
      <c r="B64">
        <f>Utilidad_Millones!B64/'Capital_accs._Millones '!B64</f>
        <v>2.7554531090758613E-2</v>
      </c>
    </row>
    <row r="65" spans="1:2">
      <c r="A65" s="2" t="s">
        <v>63</v>
      </c>
      <c r="B65">
        <f>Utilidad_Millones!B65/'Capital_accs._Millones '!B65</f>
        <v>0.14844350469473996</v>
      </c>
    </row>
    <row r="66" spans="1:2">
      <c r="A66" s="2" t="s">
        <v>64</v>
      </c>
      <c r="B66">
        <f>Utilidad_Millones!B66/'Capital_accs._Millones '!B66</f>
        <v>0.1452387743346252</v>
      </c>
    </row>
    <row r="67" spans="1:2">
      <c r="A67" s="2" t="s">
        <v>65</v>
      </c>
      <c r="B67">
        <f>Utilidad_Millones!B67/'Capital_accs._Millones '!B67</f>
        <v>0.12878553915315641</v>
      </c>
    </row>
    <row r="68" spans="1:2">
      <c r="A68" s="2" t="s">
        <v>66</v>
      </c>
      <c r="B68">
        <f>Utilidad_Millones!B68/'Capital_accs._Millones '!B68</f>
        <v>0.19128276296157234</v>
      </c>
    </row>
    <row r="69" spans="1:2">
      <c r="A69" s="2" t="s">
        <v>67</v>
      </c>
      <c r="B69">
        <f>Utilidad_Millones!B69/'Capital_accs._Millones '!B69</f>
        <v>0.22551059730250481</v>
      </c>
    </row>
    <row r="70" spans="1:2">
      <c r="A70" s="2" t="s">
        <v>68</v>
      </c>
      <c r="B70">
        <f>Utilidad_Millones!B70/'Capital_accs._Millones '!B70</f>
        <v>0.22465217685697969</v>
      </c>
    </row>
    <row r="71" spans="1:2">
      <c r="A71" s="2" t="s">
        <v>69</v>
      </c>
      <c r="B71">
        <f>Utilidad_Millones!B71/'Capital_accs._Millones '!B71</f>
        <v>0.24007475788639066</v>
      </c>
    </row>
    <row r="72" spans="1:2">
      <c r="A72" s="2" t="s">
        <v>70</v>
      </c>
      <c r="B72">
        <f>Utilidad_Millones!B72/'Capital_accs._Millones '!B72</f>
        <v>0.26078871082426297</v>
      </c>
    </row>
    <row r="73" spans="1:2">
      <c r="A73" s="2" t="s">
        <v>71</v>
      </c>
      <c r="B73">
        <f>Utilidad_Millones!B73/'Capital_accs._Millones '!B73</f>
        <v>0.24828333935670402</v>
      </c>
    </row>
    <row r="74" spans="1:2">
      <c r="A74" s="2" t="s">
        <v>72</v>
      </c>
      <c r="B74">
        <f>Utilidad_Millones!B74/'Capital_accs._Millones '!B74</f>
        <v>0.37211221122112209</v>
      </c>
    </row>
    <row r="75" spans="1:2">
      <c r="A75" s="2" t="s">
        <v>73</v>
      </c>
      <c r="B75">
        <f>Utilidad_Millones!B75/'Capital_accs._Millones '!B75</f>
        <v>0.33216178219963233</v>
      </c>
    </row>
    <row r="76" spans="1:2">
      <c r="A76" s="2" t="s">
        <v>74</v>
      </c>
      <c r="B76">
        <f>Utilidad_Millones!B76/'Capital_accs._Millones '!B76</f>
        <v>0.27232320929967518</v>
      </c>
    </row>
    <row r="77" spans="1:2">
      <c r="A77" s="2" t="s">
        <v>75</v>
      </c>
      <c r="B77">
        <f>Utilidad_Millones!B77/'Capital_accs._Millones '!B77</f>
        <v>0.29845441326942757</v>
      </c>
    </row>
    <row r="78" spans="1:2">
      <c r="A78" s="2" t="s">
        <v>76</v>
      </c>
      <c r="B78">
        <f>Utilidad_Millones!B78/'Capital_accs._Millones '!B78</f>
        <v>0.29741869796969517</v>
      </c>
    </row>
    <row r="79" spans="1:2">
      <c r="A79" s="2" t="s">
        <v>77</v>
      </c>
      <c r="B79">
        <f>Utilidad_Millones!B79/'Capital_accs._Millones '!B79</f>
        <v>0.26284303768036593</v>
      </c>
    </row>
    <row r="80" spans="1:2">
      <c r="A80" s="2" t="s">
        <v>78</v>
      </c>
      <c r="B80">
        <f>Utilidad_Millones!B80/'Capital_accs._Millones '!B80</f>
        <v>0.21801616346447086</v>
      </c>
    </row>
    <row r="81" spans="1:2">
      <c r="A81" s="2" t="s">
        <v>79</v>
      </c>
      <c r="B81">
        <f>Utilidad_Millones!B81/'Capital_accs._Millones '!B81</f>
        <v>0.18167560925733217</v>
      </c>
    </row>
    <row r="82" spans="1:2">
      <c r="A82" s="2" t="s">
        <v>80</v>
      </c>
      <c r="B82">
        <f>Utilidad_Millones!B82/'Capital_accs._Millones '!B82</f>
        <v>0.13897402057824376</v>
      </c>
    </row>
    <row r="83" spans="1:2">
      <c r="A83" s="2" t="s">
        <v>81</v>
      </c>
      <c r="B83">
        <f>Utilidad_Millones!B83/'Capital_accs._Millones '!B83</f>
        <v>0.11267230439878723</v>
      </c>
    </row>
    <row r="84" spans="1:2">
      <c r="A84" s="2" t="s">
        <v>82</v>
      </c>
      <c r="B84">
        <f>Utilidad_Millones!B84/'Capital_accs._Millones '!B84</f>
        <v>0.10785048682195902</v>
      </c>
    </row>
    <row r="85" spans="1:2">
      <c r="A85" s="2" t="s">
        <v>83</v>
      </c>
      <c r="B85">
        <f>Utilidad_Millones!B85/'Capital_accs._Millones '!B85</f>
        <v>4.3029203507205661E-2</v>
      </c>
    </row>
    <row r="86" spans="1:2">
      <c r="A86" s="2" t="s">
        <v>84</v>
      </c>
      <c r="B86">
        <f>Utilidad_Millones!B86/'Capital_accs._Millones '!B86</f>
        <v>6.2543144554708302E-2</v>
      </c>
    </row>
    <row r="87" spans="1:2">
      <c r="A87" s="2" t="s">
        <v>85</v>
      </c>
      <c r="B87">
        <f>Utilidad_Millones!B87/'Capital_accs._Millones '!B87</f>
        <v>4.5852044433939969E-2</v>
      </c>
    </row>
    <row r="88" spans="1:2">
      <c r="A88" s="2" t="s">
        <v>86</v>
      </c>
      <c r="B88">
        <f>Utilidad_Millones!B88/'Capital_accs._Millones '!B88</f>
        <v>0.14161461081513507</v>
      </c>
    </row>
    <row r="89" spans="1:2">
      <c r="A89" s="2" t="s">
        <v>87</v>
      </c>
      <c r="B89">
        <f>Utilidad_Millones!B89/'Capital_accs._Millones '!B89</f>
        <v>0.13400509094630203</v>
      </c>
    </row>
    <row r="90" spans="1:2">
      <c r="A90" s="2" t="s">
        <v>88</v>
      </c>
      <c r="B90">
        <f>Utilidad_Millones!B90/'Capital_accs._Millones '!B90</f>
        <v>-3.7863091577059381E-2</v>
      </c>
    </row>
    <row r="91" spans="1:2">
      <c r="A91" s="2" t="s">
        <v>89</v>
      </c>
      <c r="B91">
        <f>Utilidad_Millones!B91/'Capital_accs._Millones '!B91</f>
        <v>5.0968224363326939E-3</v>
      </c>
    </row>
    <row r="92" spans="1:2">
      <c r="A92" s="2" t="s">
        <v>90</v>
      </c>
      <c r="B92">
        <f>Utilidad_Millones!B92/'Capital_accs._Millones '!B92</f>
        <v>1.451672096594459E-2</v>
      </c>
    </row>
    <row r="93" spans="1:2">
      <c r="A93" s="2" t="s">
        <v>91</v>
      </c>
      <c r="B93">
        <f>Utilidad_Millones!B93/'Capital_accs._Millones '!B93</f>
        <v>3.5569267702579781E-2</v>
      </c>
    </row>
    <row r="94" spans="1:2">
      <c r="A94" s="2" t="s">
        <v>92</v>
      </c>
      <c r="B94">
        <f>Utilidad_Millones!B94/'Capital_accs._Millones '!B94</f>
        <v>1.1091281244643415E-2</v>
      </c>
    </row>
    <row r="95" spans="1:2">
      <c r="A95" s="2" t="s">
        <v>93</v>
      </c>
      <c r="B95">
        <f>Utilidad_Millones!B95/'Capital_accs._Millones '!B95</f>
        <v>6.6690844616376539E-3</v>
      </c>
    </row>
    <row r="96" spans="1:2">
      <c r="A96" s="2" t="s">
        <v>94</v>
      </c>
      <c r="B96">
        <f>Utilidad_Millones!B96/'Capital_accs._Millones '!B96</f>
        <v>8.8233452313858096E-2</v>
      </c>
    </row>
    <row r="97" spans="1:2">
      <c r="A97" s="2" t="s">
        <v>95</v>
      </c>
      <c r="B97">
        <f>Utilidad_Millones!B97/'Capital_accs._Millones '!B97</f>
        <v>2.1624936456576642E-3</v>
      </c>
    </row>
    <row r="98" spans="1:2">
      <c r="A98" s="2" t="s">
        <v>96</v>
      </c>
      <c r="B98">
        <f>Utilidad_Millones!B98/'Capital_accs._Millones '!B98</f>
        <v>0.1174743541902824</v>
      </c>
    </row>
    <row r="99" spans="1:2">
      <c r="A99" s="2" t="s">
        <v>97</v>
      </c>
      <c r="B99">
        <f>Utilidad_Millones!B99/'Capital_accs._Millones '!B99</f>
        <v>6.2184456644687844E-2</v>
      </c>
    </row>
    <row r="100" spans="1:2">
      <c r="A100" s="2" t="s">
        <v>98</v>
      </c>
      <c r="B100">
        <f>Utilidad_Millones!B100/'Capital_accs._Millones '!B100</f>
        <v>6.138764696141745E-2</v>
      </c>
    </row>
    <row r="101" spans="1:2">
      <c r="A101" s="2" t="s">
        <v>99</v>
      </c>
      <c r="B101">
        <f>Utilidad_Millones!B101/'Capital_accs._Millones '!B101</f>
        <v>8.3329673462075912E-2</v>
      </c>
    </row>
    <row r="102" spans="1:2">
      <c r="A102" s="2" t="s">
        <v>100</v>
      </c>
      <c r="B102">
        <f>Utilidad_Millones!B102/'Capital_accs._Millones '!B102</f>
        <v>8.5856514397903039E-2</v>
      </c>
    </row>
    <row r="103" spans="1:2">
      <c r="A103" s="2" t="s">
        <v>101</v>
      </c>
      <c r="B103">
        <f>Utilidad_Millones!B103/'Capital_accs._Millones '!B103</f>
        <v>8.352008674647031E-2</v>
      </c>
    </row>
    <row r="104" spans="1:2">
      <c r="A104" s="2" t="s">
        <v>102</v>
      </c>
      <c r="B104">
        <f>Utilidad_Millones!B104/'Capital_accs._Millones '!B104</f>
        <v>9.8350466737563508E-2</v>
      </c>
    </row>
    <row r="105" spans="1:2">
      <c r="A105" s="2" t="s">
        <v>103</v>
      </c>
      <c r="B105">
        <f>Utilidad_Millones!B105/'Capital_accs._Millones '!B105</f>
        <v>9.0582605897678081E-2</v>
      </c>
    </row>
    <row r="106" spans="1:2">
      <c r="A106" s="2" t="s">
        <v>104</v>
      </c>
      <c r="B106">
        <f>Utilidad_Millones!B106/'Capital_accs._Millones '!B106</f>
        <v>0.12113670758365562</v>
      </c>
    </row>
    <row r="107" spans="1:2">
      <c r="A107" s="2" t="s">
        <v>105</v>
      </c>
      <c r="B107">
        <f>Utilidad_Millones!B107/'Capital_accs._Millones '!B107</f>
        <v>5.1025418756237693E-2</v>
      </c>
    </row>
    <row r="108" spans="1:2">
      <c r="A108" s="2" t="s">
        <v>106</v>
      </c>
      <c r="B108">
        <f>Utilidad_Millones!B108/'Capital_accs._Millones '!B108</f>
        <v>-0.12333364631049865</v>
      </c>
    </row>
    <row r="109" spans="1:2">
      <c r="A109" s="2" t="s">
        <v>107</v>
      </c>
      <c r="B109">
        <f>Utilidad_Millones!B109/'Capital_accs._Millones '!B109</f>
        <v>-9.5274431419156175E-2</v>
      </c>
    </row>
    <row r="110" spans="1:2">
      <c r="A110" s="2" t="s">
        <v>108</v>
      </c>
      <c r="B110">
        <f>Utilidad_Millones!B110/'Capital_accs._Millones '!B110</f>
        <v>4.5429576697778598E-2</v>
      </c>
    </row>
    <row r="111" spans="1:2">
      <c r="A111" s="2" t="s">
        <v>109</v>
      </c>
      <c r="B111">
        <f>Utilidad_Millones!B111/'Capital_accs._Millones '!B111</f>
        <v>4.0837983260263055E-2</v>
      </c>
    </row>
    <row r="112" spans="1:2">
      <c r="A112" s="2" t="s">
        <v>110</v>
      </c>
      <c r="B112">
        <f>Utilidad_Millones!B112/'Capital_accs._Millones '!B112</f>
        <v>-0.41697113519520601</v>
      </c>
    </row>
    <row r="113" spans="1:2">
      <c r="A113" s="2" t="s">
        <v>111</v>
      </c>
      <c r="B113">
        <f>Utilidad_Millones!B113/'Capital_accs._Millones '!B113</f>
        <v>-0.67544675060050119</v>
      </c>
    </row>
    <row r="114" spans="1:2">
      <c r="A114" s="2" t="s">
        <v>112</v>
      </c>
      <c r="B114">
        <f>Utilidad_Millones!B114/'Capital_accs._Millones '!B114</f>
        <v>7.9960083011362981E-2</v>
      </c>
    </row>
    <row r="115" spans="1:2">
      <c r="A115" s="2" t="s">
        <v>113</v>
      </c>
      <c r="B115">
        <f>Utilidad_Millones!B115/'Capital_accs._Millones '!B115</f>
        <v>0.10735589096050771</v>
      </c>
    </row>
    <row r="116" spans="1:2">
      <c r="A116" s="2" t="s">
        <v>114</v>
      </c>
      <c r="B116">
        <f>Utilidad_Millones!B116/'Capital_accs._Millones '!B116</f>
        <v>0.10610194961838097</v>
      </c>
    </row>
    <row r="117" spans="1:2">
      <c r="A117" s="2" t="s">
        <v>115</v>
      </c>
      <c r="B117">
        <f>Utilidad_Millones!B117/'Capital_accs._Millones '!B117</f>
        <v>9.7696505776454751E-2</v>
      </c>
    </row>
    <row r="118" spans="1:2">
      <c r="A118" s="2" t="s">
        <v>116</v>
      </c>
      <c r="B118">
        <f>Utilidad_Millones!B118/'Capital_accs._Millones '!B118</f>
        <v>0.14822183536433725</v>
      </c>
    </row>
    <row r="119" spans="1:2">
      <c r="A119" s="2" t="s">
        <v>117</v>
      </c>
      <c r="B119">
        <f>Utilidad_Millones!B119/'Capital_accs._Millones '!B119</f>
        <v>0.11226962014363588</v>
      </c>
    </row>
    <row r="120" spans="1:2">
      <c r="A120" s="2" t="s">
        <v>118</v>
      </c>
      <c r="B120">
        <f>Utilidad_Millones!B120/'Capital_accs._Millones '!B120</f>
        <v>6.6393225946738757E-2</v>
      </c>
    </row>
    <row r="121" spans="1:2">
      <c r="A121" s="2" t="s">
        <v>119</v>
      </c>
      <c r="B121">
        <f>Utilidad_Millones!B121/'Capital_accs._Millones '!B121</f>
        <v>8.719369044513664E-2</v>
      </c>
    </row>
    <row r="122" spans="1:2">
      <c r="A122" s="2" t="s">
        <v>120</v>
      </c>
      <c r="B122">
        <f>Utilidad_Millones!B122/'Capital_accs._Millones '!B122</f>
        <v>7.1957093542387371E-2</v>
      </c>
    </row>
    <row r="123" spans="1:2">
      <c r="A123" s="2" t="s">
        <v>121</v>
      </c>
      <c r="B123">
        <f>Utilidad_Millones!B123/'Capital_accs._Millones '!B123</f>
        <v>0.14230019115938028</v>
      </c>
    </row>
    <row r="124" spans="1:2">
      <c r="A124" s="2" t="s">
        <v>122</v>
      </c>
      <c r="B124">
        <f>Utilidad_Millones!B124/'Capital_accs._Millones '!B124</f>
        <v>0.18819026270778161</v>
      </c>
    </row>
    <row r="125" spans="1:2">
      <c r="A125" s="2" t="s">
        <v>123</v>
      </c>
      <c r="B125">
        <f>Utilidad_Millones!B125/'Capital_accs._Millones '!B125</f>
        <v>0.19903569469474477</v>
      </c>
    </row>
    <row r="126" spans="1:2">
      <c r="A126" s="2" t="s">
        <v>124</v>
      </c>
      <c r="B126">
        <f>Utilidad_Millones!B126/'Capital_accs._Millones '!B126</f>
        <v>0.14855585845834002</v>
      </c>
    </row>
    <row r="127" spans="1:2">
      <c r="A127" s="2" t="s">
        <v>125</v>
      </c>
      <c r="B127">
        <f>Utilidad_Millones!B127/'Capital_accs._Millones '!B127</f>
        <v>0.1121049990506415</v>
      </c>
    </row>
    <row r="128" spans="1:2">
      <c r="A128" s="2" t="s">
        <v>126</v>
      </c>
      <c r="B128">
        <f>Utilidad_Millones!B128/'Capital_accs._Millones '!B128</f>
        <v>0.12512639602424991</v>
      </c>
    </row>
    <row r="129" spans="1:2">
      <c r="A129" s="2" t="s">
        <v>127</v>
      </c>
      <c r="B129">
        <f>Utilidad_Millones!B129/'Capital_accs._Millones '!B129</f>
        <v>0.18540953482168335</v>
      </c>
    </row>
    <row r="130" spans="1:2">
      <c r="A130" s="2" t="s">
        <v>128</v>
      </c>
      <c r="B130">
        <f>Utilidad_Millones!B130/'Capital_accs._Millones '!B130</f>
        <v>8.3704417033819159E-2</v>
      </c>
    </row>
    <row r="131" spans="1:2">
      <c r="A131" s="2" t="s">
        <v>129</v>
      </c>
      <c r="B131">
        <f>Utilidad_Millones!B131/'Capital_accs._Millones '!B131</f>
        <v>8.9806519097955395E-2</v>
      </c>
    </row>
    <row r="132" spans="1:2">
      <c r="A132" s="2" t="s">
        <v>130</v>
      </c>
      <c r="B132">
        <f>Utilidad_Millones!B132/'Capital_accs._Millones '!B132</f>
        <v>0.13757561072282207</v>
      </c>
    </row>
    <row r="133" spans="1:2">
      <c r="A133" s="2" t="s">
        <v>131</v>
      </c>
      <c r="B133">
        <f>Utilidad_Millones!B133/'Capital_accs._Millones '!B133</f>
        <v>0.15450972388999329</v>
      </c>
    </row>
    <row r="134" spans="1:2">
      <c r="A134" s="2" t="s">
        <v>132</v>
      </c>
      <c r="B134">
        <f>Utilidad_Millones!B134/'Capital_accs._Millones '!B134</f>
        <v>-0.23454886182222537</v>
      </c>
    </row>
    <row r="135" spans="1:2">
      <c r="A135" s="2" t="s">
        <v>133</v>
      </c>
      <c r="B135">
        <f>Utilidad_Millones!B135/'Capital_accs._Millones '!B135</f>
        <v>2.2163768952759781E-2</v>
      </c>
    </row>
    <row r="136" spans="1:2">
      <c r="A136" s="2" t="s">
        <v>134</v>
      </c>
      <c r="B136">
        <f>Utilidad_Millones!B136/'Capital_accs._Millones '!B136</f>
        <v>-5.8431367486566438E-2</v>
      </c>
    </row>
    <row r="137" spans="1:2">
      <c r="A137" s="2" t="s">
        <v>135</v>
      </c>
      <c r="B137">
        <f>Utilidad_Millones!B137/'Capital_accs._Millones '!B137</f>
        <v>-5.9295676249126711E-2</v>
      </c>
    </row>
    <row r="138" spans="1:2">
      <c r="A138" s="2" t="s">
        <v>136</v>
      </c>
      <c r="B138">
        <f>Utilidad_Millones!B138/'Capital_accs._Millones '!B138</f>
        <v>5.6164089836995938E-2</v>
      </c>
    </row>
    <row r="139" spans="1:2">
      <c r="A139" s="2" t="s">
        <v>137</v>
      </c>
      <c r="B139">
        <f>Utilidad_Millones!B139/'Capital_accs._Millones '!B139</f>
        <v>3.0176355906116017E-2</v>
      </c>
    </row>
    <row r="140" spans="1:2">
      <c r="A140" s="2" t="s">
        <v>138</v>
      </c>
      <c r="B140">
        <f>Utilidad_Millones!B140/'Capital_accs._Millones '!B140</f>
        <v>0.24412291222327909</v>
      </c>
    </row>
    <row r="141" spans="1:2">
      <c r="A141" s="2" t="s">
        <v>139</v>
      </c>
      <c r="B141">
        <f>Utilidad_Millones!B141/'Capital_accs._Millones '!B141</f>
        <v>0.14027899665989915</v>
      </c>
    </row>
    <row r="142" spans="1:2">
      <c r="A142" s="2" t="s">
        <v>140</v>
      </c>
      <c r="B142">
        <f>Utilidad_Millones!B142/'Capital_accs._Millones '!B142</f>
        <v>0.21925438118001767</v>
      </c>
    </row>
    <row r="143" spans="1:2">
      <c r="A143" s="2" t="s">
        <v>141</v>
      </c>
      <c r="B143">
        <f>Utilidad_Millones!B143/'Capital_accs._Millones '!B143</f>
        <v>0.13345217500654252</v>
      </c>
    </row>
    <row r="144" spans="1:2">
      <c r="A144" s="2" t="s">
        <v>142</v>
      </c>
      <c r="B144">
        <f>Utilidad_Millones!B144/'Capital_accs._Millones '!B144</f>
        <v>0.12711603005221683</v>
      </c>
    </row>
    <row r="145" spans="1:2">
      <c r="A145" s="2" t="s">
        <v>143</v>
      </c>
      <c r="B145">
        <f>Utilidad_Millones!B145/'Capital_accs._Millones '!B145</f>
        <v>6.5770424952201284E-2</v>
      </c>
    </row>
    <row r="146" spans="1:2">
      <c r="A146" s="2" t="s">
        <v>144</v>
      </c>
      <c r="B146">
        <f>Utilidad_Millones!B146/'Capital_accs._Millones '!B146</f>
        <v>4.1874691229657956E-3</v>
      </c>
    </row>
    <row r="147" spans="1:2">
      <c r="A147" s="2" t="s">
        <v>145</v>
      </c>
      <c r="B147">
        <f>Utilidad_Millones!B147/'Capital_accs._Millones '!B147</f>
        <v>2.2924195306775332E-2</v>
      </c>
    </row>
    <row r="148" spans="1:2">
      <c r="A148" s="2" t="s">
        <v>146</v>
      </c>
      <c r="B148">
        <f>Utilidad_Millones!B148/'Capital_accs._Millones '!B148</f>
        <v>0.17461882407104398</v>
      </c>
    </row>
    <row r="149" spans="1:2">
      <c r="A149" s="2" t="s">
        <v>147</v>
      </c>
      <c r="B149">
        <f>Utilidad_Millones!B149/'Capital_accs._Millones '!B149</f>
        <v>8.6517511207204814E-2</v>
      </c>
    </row>
    <row r="150" spans="1:2">
      <c r="A150" s="2" t="s">
        <v>148</v>
      </c>
      <c r="B150">
        <f>Utilidad_Millones!B150/'Capital_accs._Millones '!B150</f>
        <v>9.7752303933462986E-2</v>
      </c>
    </row>
    <row r="151" spans="1:2">
      <c r="A151" s="2" t="s">
        <v>149</v>
      </c>
      <c r="B151">
        <f>Utilidad_Millones!B151/'Capital_accs._Millones '!B151</f>
        <v>5.0747791747675366E-2</v>
      </c>
    </row>
    <row r="152" spans="1:2">
      <c r="A152" s="2" t="s">
        <v>150</v>
      </c>
      <c r="B152">
        <f>Utilidad_Millones!B152/'Capital_accs._Millones '!B152</f>
        <v>2.7890269206726319E-2</v>
      </c>
    </row>
    <row r="153" spans="1:2">
      <c r="A153" s="2" t="s">
        <v>151</v>
      </c>
      <c r="B153">
        <f>Utilidad_Millones!B153/'Capital_accs._Millones '!B153</f>
        <v>7.5555024262815212E-2</v>
      </c>
    </row>
    <row r="154" spans="1:2">
      <c r="A154" s="2" t="s">
        <v>152</v>
      </c>
      <c r="B154">
        <f>Utilidad_Millones!B154/'Capital_accs._Millones '!B154</f>
        <v>3.1543359591626748E-2</v>
      </c>
    </row>
    <row r="155" spans="1:2">
      <c r="A155" s="2" t="s">
        <v>153</v>
      </c>
      <c r="B155">
        <f>Utilidad_Millones!B155/'Capital_accs._Millones '!B155</f>
        <v>0.15350640153562309</v>
      </c>
    </row>
    <row r="156" spans="1:2">
      <c r="A156" s="2" t="s">
        <v>154</v>
      </c>
      <c r="B156">
        <f>Utilidad_Millones!B156/'Capital_accs._Millones '!B156</f>
        <v>-1.135535271931978</v>
      </c>
    </row>
    <row r="157" spans="1:2">
      <c r="A157" s="2" t="s">
        <v>155</v>
      </c>
      <c r="B157">
        <f>Utilidad_Millones!B157/'Capital_accs._Millones '!B157</f>
        <v>-3.1773295910184443</v>
      </c>
    </row>
    <row r="158" spans="1:2">
      <c r="A158" s="2" t="s">
        <v>156</v>
      </c>
      <c r="B158">
        <f>Utilidad_Millones!B158/'Capital_accs._Millones '!B158</f>
        <v>-0.11094555702122556</v>
      </c>
    </row>
    <row r="159" spans="1:2">
      <c r="A159" s="2" t="s">
        <v>157</v>
      </c>
      <c r="B159">
        <f>Utilidad_Millones!B159/'Capital_accs._Millones '!B159</f>
        <v>-0.27132870230247375</v>
      </c>
    </row>
    <row r="160" spans="1:2">
      <c r="A160" s="2" t="s">
        <v>158</v>
      </c>
      <c r="B160">
        <f>Utilidad_Millones!B160/'Capital_accs._Millones '!B160</f>
        <v>-0.18697236283195709</v>
      </c>
    </row>
    <row r="161" spans="1:2">
      <c r="A161" s="2" t="s">
        <v>159</v>
      </c>
      <c r="B161">
        <f>Utilidad_Millones!B161/'Capital_accs._Millones '!B161</f>
        <v>-0.1420001342335255</v>
      </c>
    </row>
    <row r="162" spans="1:2">
      <c r="A162" s="2" t="s">
        <v>160</v>
      </c>
      <c r="B162">
        <f>Utilidad_Millones!B162/'Capital_accs._Millones '!B162</f>
        <v>-0.1982715823684745</v>
      </c>
    </row>
    <row r="163" spans="1:2">
      <c r="A163" s="2" t="s">
        <v>161</v>
      </c>
      <c r="B163">
        <f>Utilidad_Millones!B163/'Capital_accs._Millones '!B163</f>
        <v>-0.13025083106678756</v>
      </c>
    </row>
    <row r="164" spans="1:2">
      <c r="A164" s="2" t="s">
        <v>162</v>
      </c>
      <c r="B164">
        <f>Utilidad_Millones!B164/'Capital_accs._Millones '!B164</f>
        <v>3.2440944881889762E-2</v>
      </c>
    </row>
    <row r="165" spans="1:2">
      <c r="A165" s="2" t="s">
        <v>163</v>
      </c>
      <c r="B165">
        <f>Utilidad_Millones!B165/'Capital_accs._Millones '!B165</f>
        <v>0.18281493259134121</v>
      </c>
    </row>
    <row r="166" spans="1:2">
      <c r="A166" s="2" t="s">
        <v>164</v>
      </c>
      <c r="B166">
        <f>Utilidad_Millones!B166/'Capital_accs._Millones '!B166</f>
        <v>0.28086972083035078</v>
      </c>
    </row>
    <row r="167" spans="1:2">
      <c r="A167" s="2" t="s">
        <v>165</v>
      </c>
      <c r="B167">
        <f>Utilidad_Millones!B167/'Capital_accs._Millones '!B167</f>
        <v>0.28680949943123962</v>
      </c>
    </row>
    <row r="168" spans="1:2">
      <c r="A168" s="2" t="s">
        <v>166</v>
      </c>
      <c r="B168">
        <f>Utilidad_Millones!B168/'Capital_accs._Millones '!B168</f>
        <v>0.27313608703055975</v>
      </c>
    </row>
    <row r="169" spans="1:2">
      <c r="A169" s="2" t="s">
        <v>167</v>
      </c>
      <c r="B169">
        <f>Utilidad_Millones!B169/'Capital_accs._Millones '!B169</f>
        <v>9.9864738644647275E-2</v>
      </c>
    </row>
    <row r="170" spans="1:2">
      <c r="A170" s="2" t="s">
        <v>168</v>
      </c>
      <c r="B170">
        <f>Utilidad_Millones!B170/'Capital_accs._Millones '!B170</f>
        <v>0.13383203835344684</v>
      </c>
    </row>
    <row r="171" spans="1:2">
      <c r="A171" s="2" t="s">
        <v>169</v>
      </c>
      <c r="B171">
        <f>Utilidad_Millones!B171/'Capital_accs._Millones '!B171</f>
        <v>-1.5888000936740726E-2</v>
      </c>
    </row>
    <row r="172" spans="1:2">
      <c r="A172" s="2" t="s">
        <v>170</v>
      </c>
      <c r="B172">
        <f>Utilidad_Millones!B172/'Capital_accs._Millones '!B172</f>
        <v>6.0738026405435762E-2</v>
      </c>
    </row>
    <row r="173" spans="1:2">
      <c r="A173" s="2" t="s">
        <v>171</v>
      </c>
      <c r="B173">
        <f>Utilidad_Millones!B173/'Capital_accs._Millones '!B173</f>
        <v>0.10699235870248093</v>
      </c>
    </row>
    <row r="174" spans="1:2">
      <c r="A174" s="2" t="s">
        <v>172</v>
      </c>
      <c r="B174">
        <f>Utilidad_Millones!B174/'Capital_accs._Millones '!B174</f>
        <v>0.1137050341290686</v>
      </c>
    </row>
    <row r="175" spans="1:2">
      <c r="A175" s="2" t="s">
        <v>173</v>
      </c>
      <c r="B175">
        <f>Utilidad_Millones!B175/'Capital_accs._Millones '!B175</f>
        <v>6.4981547774477649E-2</v>
      </c>
    </row>
    <row r="176" spans="1:2">
      <c r="A176" s="2" t="s">
        <v>174</v>
      </c>
      <c r="B176">
        <f>Utilidad_Millones!B176/'Capital_accs._Millones '!B176</f>
        <v>0.11073286714138279</v>
      </c>
    </row>
    <row r="177" spans="1:2">
      <c r="A177" s="2" t="s">
        <v>175</v>
      </c>
      <c r="B177">
        <f>Utilidad_Millones!B177/'Capital_accs._Millones '!B177</f>
        <v>8.6270807323883328E-2</v>
      </c>
    </row>
    <row r="178" spans="1:2">
      <c r="A178" s="2" t="s">
        <v>176</v>
      </c>
      <c r="B178">
        <f>Utilidad_Millones!B178/'Capital_accs._Millones '!B178</f>
        <v>0.22157592848623647</v>
      </c>
    </row>
    <row r="179" spans="1:2">
      <c r="A179" s="2" t="s">
        <v>177</v>
      </c>
      <c r="B179">
        <f>Utilidad_Millones!B179/'Capital_accs._Millones '!B179</f>
        <v>0.12380504028124739</v>
      </c>
    </row>
    <row r="180" spans="1:2">
      <c r="A180" s="2" t="s">
        <v>178</v>
      </c>
      <c r="B180">
        <f>Utilidad_Millones!B180/'Capital_accs._Millones '!B180</f>
        <v>4.6458600308090944E-2</v>
      </c>
    </row>
    <row r="181" spans="1:2">
      <c r="A181" s="2" t="s">
        <v>179</v>
      </c>
      <c r="B181">
        <f>Utilidad_Millones!B181/'Capital_accs._Millones '!B181</f>
        <v>3.0557303685056984E-2</v>
      </c>
    </row>
    <row r="182" spans="1:2">
      <c r="A182" s="2" t="s">
        <v>180</v>
      </c>
      <c r="B182">
        <f>Utilidad_Millones!B182/'Capital_accs._Millones '!B182</f>
        <v>0.17957742937881516</v>
      </c>
    </row>
    <row r="183" spans="1:2">
      <c r="A183" s="2" t="s">
        <v>181</v>
      </c>
      <c r="B183">
        <f>Utilidad_Millones!B183/'Capital_accs._Millones '!B183</f>
        <v>0.14519910751427598</v>
      </c>
    </row>
    <row r="184" spans="1:2">
      <c r="A184" s="2" t="s">
        <v>182</v>
      </c>
      <c r="B184">
        <f>Utilidad_Millones!B184/'Capital_accs._Millones '!B184</f>
        <v>0.20571777466508639</v>
      </c>
    </row>
    <row r="185" spans="1:2">
      <c r="A185" s="2" t="s">
        <v>183</v>
      </c>
      <c r="B185">
        <f>Utilidad_Millones!B185/'Capital_accs._Millones '!B185</f>
        <v>0.25613840793063397</v>
      </c>
    </row>
    <row r="186" spans="1:2">
      <c r="A186" s="2" t="s">
        <v>184</v>
      </c>
      <c r="B186">
        <f>Utilidad_Millones!B186/'Capital_accs._Millones '!B186</f>
        <v>0.1184538160547014</v>
      </c>
    </row>
    <row r="187" spans="1:2">
      <c r="A187" s="2" t="s">
        <v>185</v>
      </c>
      <c r="B187">
        <f>Utilidad_Millones!B187/'Capital_accs._Millones '!B187</f>
        <v>0.24526558298626039</v>
      </c>
    </row>
    <row r="188" spans="1:2">
      <c r="A188" s="2" t="s">
        <v>186</v>
      </c>
      <c r="B188">
        <f>Utilidad_Millones!B188/'Capital_accs._Millones '!B188</f>
        <v>0.20725318920026642</v>
      </c>
    </row>
    <row r="189" spans="1:2">
      <c r="A189" s="2" t="s">
        <v>187</v>
      </c>
      <c r="B189">
        <f>Utilidad_Millones!B189/'Capital_accs._Millones '!B189</f>
        <v>5.7582719509170148E-2</v>
      </c>
    </row>
    <row r="190" spans="1:2">
      <c r="A190" s="2" t="s">
        <v>188</v>
      </c>
      <c r="B190">
        <f>Utilidad_Millones!B190/'Capital_accs._Millones '!B190</f>
        <v>2.7881238693199955E-2</v>
      </c>
    </row>
    <row r="191" spans="1:2">
      <c r="A191" s="2" t="s">
        <v>189</v>
      </c>
      <c r="B191">
        <f>Utilidad_Millones!B191/'Capital_accs._Millones '!B191</f>
        <v>5.8855720210371575E-2</v>
      </c>
    </row>
    <row r="192" spans="1:2">
      <c r="A192" s="2" t="s">
        <v>190</v>
      </c>
      <c r="B192">
        <f>Utilidad_Millones!B192/'Capital_accs._Millones '!B192</f>
        <v>0.1335239664614937</v>
      </c>
    </row>
    <row r="193" spans="1:2">
      <c r="A193" s="2" t="s">
        <v>191</v>
      </c>
      <c r="B193">
        <f>Utilidad_Millones!B193/'Capital_accs._Millones '!B193</f>
        <v>0.11267494889133513</v>
      </c>
    </row>
    <row r="194" spans="1:2">
      <c r="A194" s="2" t="s">
        <v>192</v>
      </c>
      <c r="B194">
        <f>Utilidad_Millones!B194/'Capital_accs._Millones '!B194</f>
        <v>0.21468916970570776</v>
      </c>
    </row>
    <row r="195" spans="1:2">
      <c r="A195" s="2" t="s">
        <v>193</v>
      </c>
      <c r="B195">
        <f>Utilidad_Millones!B195/'Capital_accs._Millones '!B195</f>
        <v>0.23393362001377965</v>
      </c>
    </row>
    <row r="196" spans="1:2">
      <c r="A196" s="2" t="s">
        <v>194</v>
      </c>
      <c r="B196">
        <f>Utilidad_Millones!B196/'Capital_accs._Millones '!B196</f>
        <v>0.13013394743513904</v>
      </c>
    </row>
    <row r="197" spans="1:2">
      <c r="A197" s="2" t="s">
        <v>195</v>
      </c>
      <c r="B197">
        <f>Utilidad_Millones!B197/'Capital_accs._Millones '!B197</f>
        <v>0.10120945409912135</v>
      </c>
    </row>
    <row r="198" spans="1:2">
      <c r="A198" s="2" t="s">
        <v>196</v>
      </c>
      <c r="B198">
        <f>Utilidad_Millones!B198/'Capital_accs._Millones '!B198</f>
        <v>9.9977571313029714E-2</v>
      </c>
    </row>
    <row r="199" spans="1:2">
      <c r="A199" s="2" t="s">
        <v>197</v>
      </c>
      <c r="B199">
        <f>Utilidad_Millones!B199/'Capital_accs._Millones '!B199</f>
        <v>7.2644250726442511E-2</v>
      </c>
    </row>
    <row r="200" spans="1:2">
      <c r="A200" s="2" t="s">
        <v>198</v>
      </c>
      <c r="B200">
        <f>Utilidad_Millones!B200/'Capital_accs._Millones '!B200</f>
        <v>0.14546510691790665</v>
      </c>
    </row>
    <row r="201" spans="1:2">
      <c r="A201" s="2" t="s">
        <v>199</v>
      </c>
      <c r="B201">
        <f>Utilidad_Millones!B201/'Capital_accs._Millones '!B201</f>
        <v>0.14393891758365149</v>
      </c>
    </row>
    <row r="202" spans="1:2">
      <c r="A202" s="2" t="s">
        <v>200</v>
      </c>
      <c r="B202">
        <f>Utilidad_Millones!B202/'Capital_accs._Millones '!B202</f>
        <v>0.14009297445541322</v>
      </c>
    </row>
    <row r="203" spans="1:2">
      <c r="A203" s="2" t="s">
        <v>201</v>
      </c>
      <c r="B203">
        <f>Utilidad_Millones!B203/'Capital_accs._Millones '!B203</f>
        <v>0.14633616077342998</v>
      </c>
    </row>
    <row r="204" spans="1:2">
      <c r="A204" s="2" t="s">
        <v>202</v>
      </c>
      <c r="B204">
        <f>Utilidad_Millones!B204/'Capital_accs._Millones '!B204</f>
        <v>0.15080779998761495</v>
      </c>
    </row>
    <row r="205" spans="1:2">
      <c r="A205" s="2" t="s">
        <v>203</v>
      </c>
      <c r="B205">
        <f>Utilidad_Millones!B205/'Capital_accs._Millones '!B205</f>
        <v>0.13767680841212229</v>
      </c>
    </row>
    <row r="206" spans="1:2">
      <c r="A206" s="2" t="s">
        <v>204</v>
      </c>
      <c r="B206">
        <f>Utilidad_Millones!B206/'Capital_accs._Millones '!B206</f>
        <v>0.10859122565853215</v>
      </c>
    </row>
    <row r="207" spans="1:2">
      <c r="A207" s="2" t="s">
        <v>205</v>
      </c>
      <c r="B207">
        <f>Utilidad_Millones!B207/'Capital_accs._Millones '!B207</f>
        <v>9.0189594196382158E-2</v>
      </c>
    </row>
    <row r="208" spans="1:2">
      <c r="A208" s="2" t="s">
        <v>206</v>
      </c>
      <c r="B208">
        <f>Utilidad_Millones!B208/'Capital_accs._Millones '!B208</f>
        <v>7.4824071328226299E-2</v>
      </c>
    </row>
    <row r="209" spans="1:2">
      <c r="A209" s="2" t="s">
        <v>207</v>
      </c>
      <c r="B209">
        <f>Utilidad_Millones!B209/'Capital_accs._Millones '!B209</f>
        <v>0.1001449484850675</v>
      </c>
    </row>
    <row r="210" spans="1:2">
      <c r="A210" s="2" t="s">
        <v>208</v>
      </c>
      <c r="B210">
        <f>Utilidad_Millones!B210/'Capital_accs._Millones '!B210</f>
        <v>0.10058176952780977</v>
      </c>
    </row>
    <row r="211" spans="1:2">
      <c r="A211" s="2" t="s">
        <v>209</v>
      </c>
      <c r="B211">
        <f>Utilidad_Millones!B211/'Capital_accs._Millones '!B211</f>
        <v>2.8008053465732194E-2</v>
      </c>
    </row>
    <row r="212" spans="1:2">
      <c r="A212" s="2" t="s">
        <v>210</v>
      </c>
      <c r="B212">
        <f>Utilidad_Millones!B212/'Capital_accs._Millones '!B212</f>
        <v>8.9655695387605788E-2</v>
      </c>
    </row>
    <row r="213" spans="1:2">
      <c r="A213" s="2" t="s">
        <v>211</v>
      </c>
      <c r="B213">
        <f>Utilidad_Millones!B213/'Capital_accs._Millones '!B213</f>
        <v>0.12950786947685064</v>
      </c>
    </row>
    <row r="214" spans="1:2">
      <c r="A214" s="2" t="s">
        <v>212</v>
      </c>
      <c r="B214">
        <f>Utilidad_Millones!B214/'Capital_accs._Millones '!B214</f>
        <v>0.1411859911818128</v>
      </c>
    </row>
    <row r="215" spans="1:2">
      <c r="A215" s="2" t="s">
        <v>213</v>
      </c>
      <c r="B215">
        <f>Utilidad_Millones!B215/'Capital_accs._Millones '!B215</f>
        <v>0.12927206037286121</v>
      </c>
    </row>
    <row r="216" spans="1:2">
      <c r="A216" s="2" t="s">
        <v>214</v>
      </c>
      <c r="B216">
        <f>Utilidad_Millones!B216/'Capital_accs._Millones '!B216</f>
        <v>0.10749479678189229</v>
      </c>
    </row>
    <row r="217" spans="1:2">
      <c r="A217" s="2" t="s">
        <v>215</v>
      </c>
      <c r="B217">
        <f>Utilidad_Millones!B217/'Capital_accs._Millones '!B217</f>
        <v>9.7135803655491071E-2</v>
      </c>
    </row>
    <row r="218" spans="1:2">
      <c r="A218" s="2" t="s">
        <v>216</v>
      </c>
      <c r="B218">
        <f>Utilidad_Millones!B218/'Capital_accs._Millones '!B218</f>
        <v>0.10287454188823662</v>
      </c>
    </row>
    <row r="219" spans="1:2">
      <c r="A219" s="2" t="s">
        <v>217</v>
      </c>
      <c r="B219">
        <f>Utilidad_Millones!B219/'Capital_accs._Millones '!B219</f>
        <v>0.1000882265517973</v>
      </c>
    </row>
    <row r="220" spans="1:2">
      <c r="A220" s="2" t="s">
        <v>218</v>
      </c>
      <c r="B220">
        <f>Utilidad_Millones!B220/'Capital_accs._Millones '!B220</f>
        <v>0.11736439193380589</v>
      </c>
    </row>
    <row r="221" spans="1:2">
      <c r="A221" s="2" t="s">
        <v>219</v>
      </c>
      <c r="B221">
        <f>Utilidad_Millones!B221/'Capital_accs._Millones '!B221</f>
        <v>8.4828209993615636E-2</v>
      </c>
    </row>
    <row r="222" spans="1:2">
      <c r="A222" s="2" t="s">
        <v>220</v>
      </c>
      <c r="B222">
        <f>Utilidad_Millones!B222/'Capital_accs._Millones '!B222</f>
        <v>0.12452619735782569</v>
      </c>
    </row>
    <row r="223" spans="1:2">
      <c r="A223" s="2" t="s">
        <v>221</v>
      </c>
      <c r="B223">
        <f>Utilidad_Millones!B223/'Capital_accs._Millones '!B223</f>
        <v>0.15197794039664864</v>
      </c>
    </row>
    <row r="224" spans="1:2">
      <c r="A224" s="2" t="s">
        <v>222</v>
      </c>
      <c r="B224">
        <f>Utilidad_Millones!B224/'Capital_accs._Millones '!B224</f>
        <v>0.1622154932755443</v>
      </c>
    </row>
    <row r="225" spans="1:2">
      <c r="A225" s="2" t="s">
        <v>223</v>
      </c>
      <c r="B225">
        <f>Utilidad_Millones!B225/'Capital_accs._Millones '!B225</f>
        <v>0.21734611386996189</v>
      </c>
    </row>
    <row r="226" spans="1:2">
      <c r="A226" s="2" t="s">
        <v>224</v>
      </c>
      <c r="B226">
        <f>Utilidad_Millones!B226/'Capital_accs._Millones '!B226</f>
        <v>0.22451483381664064</v>
      </c>
    </row>
    <row r="227" spans="1:2">
      <c r="A227" s="2" t="s">
        <v>225</v>
      </c>
      <c r="B227">
        <f>Utilidad_Millones!B227/'Capital_accs._Millones '!B227</f>
        <v>0.20792383292383293</v>
      </c>
    </row>
    <row r="228" spans="1:2">
      <c r="A228" s="2" t="s">
        <v>226</v>
      </c>
      <c r="B228">
        <f>Utilidad_Millones!B228/'Capital_accs._Millones '!B228</f>
        <v>0.21455938697318008</v>
      </c>
    </row>
    <row r="229" spans="1:2">
      <c r="A229" s="2" t="s">
        <v>227</v>
      </c>
      <c r="B229">
        <f>Utilidad_Millones!B229/'Capital_accs._Millones '!B229</f>
        <v>0.16295817560705383</v>
      </c>
    </row>
    <row r="230" spans="1:2">
      <c r="A230" s="2" t="s">
        <v>228</v>
      </c>
      <c r="B230">
        <f>Utilidad_Millones!B230/'Capital_accs._Millones '!B230</f>
        <v>6.6578715919085318E-2</v>
      </c>
    </row>
    <row r="231" spans="1:2">
      <c r="A231" s="2" t="s">
        <v>229</v>
      </c>
      <c r="B231">
        <f>Utilidad_Millones!B231/'Capital_accs._Millones '!B231</f>
        <v>0.12791483609327475</v>
      </c>
    </row>
    <row r="232" spans="1:2">
      <c r="A232" s="2" t="s">
        <v>230</v>
      </c>
      <c r="B232">
        <f>Utilidad_Millones!B232/'Capital_accs._Millones '!B232</f>
        <v>5.4138088705989941E-2</v>
      </c>
    </row>
    <row r="233" spans="1:2">
      <c r="A233" s="2" t="s">
        <v>231</v>
      </c>
      <c r="B233">
        <f>Utilidad_Millones!B233/'Capital_accs._Millones '!B233</f>
        <v>8.5115575718297684E-2</v>
      </c>
    </row>
    <row r="234" spans="1:2">
      <c r="A234" s="2" t="s">
        <v>232</v>
      </c>
      <c r="B234">
        <f>Utilidad_Millones!B234/'Capital_accs._Millones '!B234</f>
        <v>-0.32388101064142216</v>
      </c>
    </row>
    <row r="235" spans="1:2">
      <c r="A235" s="2" t="s">
        <v>233</v>
      </c>
      <c r="B235">
        <f>Utilidad_Millones!B235/'Capital_accs._Millones '!B235</f>
        <v>6.3960181198373267E-2</v>
      </c>
    </row>
    <row r="236" spans="1:2">
      <c r="A236" s="2" t="s">
        <v>234</v>
      </c>
      <c r="B236">
        <f>Utilidad_Millones!B236/'Capital_accs._Millones '!B236</f>
        <v>8.6806184922180479E-2</v>
      </c>
    </row>
    <row r="237" spans="1:2">
      <c r="A237" s="2" t="s">
        <v>235</v>
      </c>
      <c r="B237">
        <f>Utilidad_Millones!B237/'Capital_accs._Millones '!B237</f>
        <v>0.3788584740827024</v>
      </c>
    </row>
    <row r="238" spans="1:2">
      <c r="A238" s="2" t="s">
        <v>236</v>
      </c>
      <c r="B238">
        <f>Utilidad_Millones!B238/'Capital_accs._Millones '!B238</f>
        <v>0.47792897444407567</v>
      </c>
    </row>
    <row r="239" spans="1:2">
      <c r="A239" s="2" t="s">
        <v>237</v>
      </c>
      <c r="B239">
        <f>Utilidad_Millones!B239/'Capital_accs._Millones '!B239</f>
        <v>0.56165386022685693</v>
      </c>
    </row>
    <row r="240" spans="1:2">
      <c r="A240" s="2" t="s">
        <v>238</v>
      </c>
      <c r="B240">
        <f>Utilidad_Millones!B240/'Capital_accs._Millones '!B240</f>
        <v>0.52353186172428157</v>
      </c>
    </row>
    <row r="241" spans="1:2">
      <c r="A241" s="2" t="s">
        <v>278</v>
      </c>
      <c r="B241">
        <f>Utilidad_Millones!B241/'Capital_accs._Millones '!B241</f>
        <v>0.3016348773841962</v>
      </c>
    </row>
    <row r="242" spans="1:2">
      <c r="A242" s="2" t="s">
        <v>240</v>
      </c>
      <c r="B242">
        <f>Utilidad_Millones!B242/'Capital_accs._Millones '!B242</f>
        <v>0.25155821490900027</v>
      </c>
    </row>
    <row r="243" spans="1:2">
      <c r="A243" s="2" t="s">
        <v>241</v>
      </c>
      <c r="B243">
        <f>Utilidad_Millones!B243/'Capital_accs._Millones '!B243</f>
        <v>0.23048703352308667</v>
      </c>
    </row>
    <row r="244" spans="1:2">
      <c r="A244" s="2" t="s">
        <v>242</v>
      </c>
      <c r="B244">
        <f>Utilidad_Millones!B244/'Capital_accs._Millones '!B244</f>
        <v>7.2960345034144003E-2</v>
      </c>
    </row>
    <row r="245" spans="1:2">
      <c r="A245" s="2" t="s">
        <v>243</v>
      </c>
      <c r="B245">
        <f>Utilidad_Millones!B245/'Capital_accs._Millones '!B245</f>
        <v>6.6976955386536502E-2</v>
      </c>
    </row>
    <row r="246" spans="1:2">
      <c r="A246" s="2" t="s">
        <v>244</v>
      </c>
      <c r="B246">
        <f>Utilidad_Millones!B246/'Capital_accs._Millones '!B246</f>
        <v>0.15727421029215483</v>
      </c>
    </row>
    <row r="247" spans="1:2">
      <c r="A247" s="2" t="s">
        <v>245</v>
      </c>
      <c r="B247">
        <f>Utilidad_Millones!B247/'Capital_accs._Millones '!B247</f>
        <v>0.18062304367267848</v>
      </c>
    </row>
    <row r="248" spans="1:2">
      <c r="A248" s="2" t="s">
        <v>246</v>
      </c>
      <c r="B248">
        <f>Utilidad_Millones!B248/'Capital_accs._Millones '!B248</f>
        <v>0.18989690864541878</v>
      </c>
    </row>
    <row r="249" spans="1:2">
      <c r="A249" s="2" t="s">
        <v>247</v>
      </c>
      <c r="B249">
        <f>Utilidad_Millones!B249/'Capital_accs._Millones '!B249</f>
        <v>0.20340064847200592</v>
      </c>
    </row>
    <row r="250" spans="1:2">
      <c r="A250" s="2" t="s">
        <v>248</v>
      </c>
      <c r="B250">
        <f>Utilidad_Millones!B250/'Capital_accs._Millones '!B250</f>
        <v>0.16775404983927947</v>
      </c>
    </row>
    <row r="251" spans="1:2">
      <c r="A251" s="2" t="s">
        <v>249</v>
      </c>
      <c r="B251">
        <f>Utilidad_Millones!B251/'Capital_accs._Millones '!B251</f>
        <v>0.17952671659638744</v>
      </c>
    </row>
    <row r="252" spans="1:2">
      <c r="A252" s="2" t="s">
        <v>279</v>
      </c>
      <c r="B252">
        <f>Utilidad_Millones!B252/'Capital_accs._Millones '!B252</f>
        <v>-5.2413793103448274</v>
      </c>
    </row>
    <row r="253" spans="1:2">
      <c r="A253" s="2" t="s">
        <v>251</v>
      </c>
      <c r="B253">
        <f>Utilidad_Millones!B253/'Capital_accs._Millones '!B253</f>
        <v>0.89346099001833368</v>
      </c>
    </row>
    <row r="254" spans="1:2">
      <c r="A254" s="2" t="s">
        <v>252</v>
      </c>
      <c r="B254">
        <f>Utilidad_Millones!B254/'Capital_accs._Millones '!B254</f>
        <v>0.8553562613131479</v>
      </c>
    </row>
    <row r="255" spans="1:2">
      <c r="A255" s="2" t="s">
        <v>253</v>
      </c>
      <c r="B255">
        <f>Utilidad_Millones!B255/'Capital_accs._Millones '!B255</f>
        <v>0.90884422110552765</v>
      </c>
    </row>
    <row r="256" spans="1:2">
      <c r="A256" s="2" t="s">
        <v>254</v>
      </c>
      <c r="B256">
        <f>Utilidad_Millones!B256/'Capital_accs._Millones '!B256</f>
        <v>0.71814800421917502</v>
      </c>
    </row>
    <row r="257" spans="1:2">
      <c r="A257" s="2" t="s">
        <v>255</v>
      </c>
      <c r="B257">
        <f>Utilidad_Millones!B257/'Capital_accs._Millones '!B257</f>
        <v>0.43293486027375611</v>
      </c>
    </row>
    <row r="258" spans="1:2">
      <c r="A258" s="2" t="s">
        <v>256</v>
      </c>
      <c r="B258">
        <f>Utilidad_Millones!B258/'Capital_accs._Millones '!B258</f>
        <v>0.39881730773599156</v>
      </c>
    </row>
    <row r="259" spans="1:2">
      <c r="A259" s="2" t="s">
        <v>257</v>
      </c>
      <c r="B259">
        <f>Utilidad_Millones!B259/'Capital_accs._Millones '!B259</f>
        <v>0.26951481903530339</v>
      </c>
    </row>
    <row r="260" spans="1:2">
      <c r="A260" s="2" t="s">
        <v>258</v>
      </c>
      <c r="B260">
        <f>Utilidad_Millones!B260/'Capital_accs._Millones '!B260</f>
        <v>0.23761732300759211</v>
      </c>
    </row>
    <row r="261" spans="1:2">
      <c r="A261" s="2" t="s">
        <v>259</v>
      </c>
      <c r="B261">
        <f>Utilidad_Millones!B261/'Capital_accs._Millones '!B261</f>
        <v>0.40411166440047075</v>
      </c>
    </row>
    <row r="262" spans="1:2">
      <c r="A262" s="2" t="s">
        <v>260</v>
      </c>
      <c r="B262">
        <f>Utilidad_Millones!B262/'Capital_accs._Millones '!B262</f>
        <v>0.12566558671931116</v>
      </c>
    </row>
    <row r="263" spans="1:2">
      <c r="A263" s="2" t="s">
        <v>280</v>
      </c>
      <c r="B263">
        <f>Utilidad_Millones!B263/'Capital_accs._Millones '!B263</f>
        <v>0.13860633942514666</v>
      </c>
    </row>
    <row r="264" spans="1:2">
      <c r="A264" s="2" t="s">
        <v>262</v>
      </c>
      <c r="B264">
        <f>Utilidad_Millones!B264/'Capital_accs._Millones '!B264</f>
        <v>-1.3958040767692243E-2</v>
      </c>
    </row>
    <row r="265" spans="1:2">
      <c r="A265" s="2" t="s">
        <v>263</v>
      </c>
      <c r="B265">
        <f>Utilidad_Millones!B265/'Capital_accs._Millones '!B265</f>
        <v>0.10414657666345227</v>
      </c>
    </row>
    <row r="266" spans="1:2">
      <c r="A266" s="2" t="s">
        <v>264</v>
      </c>
      <c r="B266">
        <f>Utilidad_Millones!B266/'Capital_accs._Millones '!B266</f>
        <v>3.5891872344272671E-2</v>
      </c>
    </row>
    <row r="267" spans="1:2">
      <c r="A267" s="2" t="s">
        <v>265</v>
      </c>
      <c r="B267">
        <f>Utilidad_Millones!B267/'Capital_accs._Millones '!B267</f>
        <v>3.3702663498040186E-2</v>
      </c>
    </row>
    <row r="268" spans="1:2">
      <c r="A268" s="2" t="s">
        <v>266</v>
      </c>
      <c r="B268">
        <f>Utilidad_Millones!B268/'Capital_accs._Millones '!B268</f>
        <v>0.20416362308254199</v>
      </c>
    </row>
    <row r="269" spans="1:2">
      <c r="A269" s="2" t="s">
        <v>267</v>
      </c>
      <c r="B269">
        <f>Utilidad_Millones!B269/'Capital_accs._Millones '!B269</f>
        <v>0.16047805857129824</v>
      </c>
    </row>
    <row r="270" spans="1:2">
      <c r="A270" s="2" t="s">
        <v>268</v>
      </c>
      <c r="B270">
        <f>Utilidad_Millones!B270/'Capital_accs._Millones '!B270</f>
        <v>0.20005551957064865</v>
      </c>
    </row>
    <row r="271" spans="1:2">
      <c r="A271" s="2" t="s">
        <v>269</v>
      </c>
      <c r="B271">
        <f>Utilidad_Millones!B271/'Capital_accs._Millones '!B271</f>
        <v>0.27151106833493743</v>
      </c>
    </row>
    <row r="272" spans="1:2">
      <c r="A272" s="2" t="s">
        <v>270</v>
      </c>
      <c r="B272">
        <f>Utilidad_Millones!B272/'Capital_accs._Millones '!B272</f>
        <v>0.30022119445003015</v>
      </c>
    </row>
    <row r="273" spans="1:2">
      <c r="A273" s="2" t="s">
        <v>271</v>
      </c>
      <c r="B273">
        <f>Utilidad_Millones!B273/'Capital_accs._Millones '!B273</f>
        <v>0.3432636302874057</v>
      </c>
    </row>
    <row r="274" spans="1:2">
      <c r="A274" s="2" t="s">
        <v>281</v>
      </c>
      <c r="B274">
        <f>Utilidad_Millones!B274/'Capital_accs._Millones '!B274</f>
        <v>0.62041360907271514</v>
      </c>
    </row>
    <row r="275" spans="1:2">
      <c r="A275" s="2" t="s">
        <v>273</v>
      </c>
      <c r="B275">
        <f>Utilidad_Millones!B275/'Capital_accs._Millones '!B275</f>
        <v>0.5632648478724599</v>
      </c>
    </row>
    <row r="276" spans="1:2">
      <c r="A276" s="2" t="s">
        <v>274</v>
      </c>
      <c r="B276">
        <f>Utilidad_Millones!B276/'Capital_accs._Millones '!B276</f>
        <v>0.60901273538695988</v>
      </c>
    </row>
    <row r="277" spans="1:2">
      <c r="A277" s="2" t="s">
        <v>275</v>
      </c>
      <c r="B277">
        <f>Utilidad_Millones!B277/'Capital_accs._Millones '!B277</f>
        <v>0.58268956723918097</v>
      </c>
    </row>
    <row r="278" spans="1:2">
      <c r="A278" s="2" t="s">
        <v>276</v>
      </c>
      <c r="B278">
        <f>Utilidad_Millones!B278/'Capital_accs._Millones '!B278</f>
        <v>0.60019208341908481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44DE-5EA6-4EA6-B231-B07A038C058F}">
  <sheetPr codeName="Hoja2"/>
  <dimension ref="A1:B278"/>
  <sheetViews>
    <sheetView topLeftCell="A251" workbookViewId="0">
      <selection activeCell="A275" sqref="A275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Ingresos_Millones!B2*1000000/Empleados!B2</f>
        <v>954003.76747153711</v>
      </c>
    </row>
    <row r="3" spans="1:2">
      <c r="A3" s="2" t="s">
        <v>1</v>
      </c>
      <c r="B3">
        <f>Ingresos_Millones!B3*1000000/Empleados!B3</f>
        <v>932784.57818580221</v>
      </c>
    </row>
    <row r="4" spans="1:2">
      <c r="A4" s="2" t="s">
        <v>2</v>
      </c>
      <c r="B4">
        <f>Ingresos_Millones!B4*1000000/Empleados!B4</f>
        <v>915004.84816630569</v>
      </c>
    </row>
    <row r="5" spans="1:2">
      <c r="A5" s="2" t="s">
        <v>3</v>
      </c>
      <c r="B5">
        <f>Ingresos_Millones!B5*1000000/Empleados!B5</f>
        <v>916872.70038856985</v>
      </c>
    </row>
    <row r="6" spans="1:2">
      <c r="A6" s="2" t="s">
        <v>4</v>
      </c>
      <c r="B6">
        <f>Ingresos_Millones!B6*1000000/Empleados!B6</f>
        <v>836422.23749222863</v>
      </c>
    </row>
    <row r="7" spans="1:2">
      <c r="A7" s="2" t="s">
        <v>5</v>
      </c>
      <c r="B7">
        <f>Ingresos_Millones!B7*1000000/Empleados!B7</f>
        <v>834847.54948728846</v>
      </c>
    </row>
    <row r="8" spans="1:2">
      <c r="A8" s="2" t="s">
        <v>277</v>
      </c>
      <c r="B8">
        <f>Ingresos_Millones!B8*1000000/Empleados!B8</f>
        <v>800387.49404656503</v>
      </c>
    </row>
    <row r="9" spans="1:2">
      <c r="A9" s="2" t="s">
        <v>7</v>
      </c>
      <c r="B9">
        <f>Ingresos_Millones!B9*1000000/Empleados!B9</f>
        <v>871875.79422625538</v>
      </c>
    </row>
    <row r="10" spans="1:2">
      <c r="A10" s="2" t="s">
        <v>8</v>
      </c>
      <c r="B10">
        <f>Ingresos_Millones!B10*1000000/Empleados!B10</f>
        <v>934298.32844623365</v>
      </c>
    </row>
    <row r="11" spans="1:2">
      <c r="A11" s="2" t="s">
        <v>9</v>
      </c>
      <c r="B11">
        <f>Ingresos_Millones!B11*1000000/Empleados!B11</f>
        <v>1106069.3471478189</v>
      </c>
    </row>
    <row r="12" spans="1:2">
      <c r="A12" s="2" t="s">
        <v>10</v>
      </c>
      <c r="B12">
        <f>Ingresos_Millones!B12*1000000/Empleados!B12</f>
        <v>1003454.089312594</v>
      </c>
    </row>
    <row r="13" spans="1:2">
      <c r="A13" s="2" t="s">
        <v>11</v>
      </c>
      <c r="B13">
        <v>365516.94915254239</v>
      </c>
    </row>
    <row r="14" spans="1:2">
      <c r="A14" s="2" t="s">
        <v>12</v>
      </c>
      <c r="B14">
        <v>247998.39659512258</v>
      </c>
    </row>
    <row r="15" spans="1:2">
      <c r="A15" s="2" t="s">
        <v>13</v>
      </c>
      <c r="B15">
        <v>248922.71689112409</v>
      </c>
    </row>
    <row r="16" spans="1:2">
      <c r="A16" s="2" t="s">
        <v>14</v>
      </c>
      <c r="B16">
        <v>241969.04339000254</v>
      </c>
    </row>
    <row r="17" spans="1:2">
      <c r="A17" s="2" t="s">
        <v>15</v>
      </c>
      <c r="B17">
        <v>209328.08719618662</v>
      </c>
    </row>
    <row r="18" spans="1:2">
      <c r="A18" s="2" t="s">
        <v>16</v>
      </c>
      <c r="B18">
        <v>203698.15160559106</v>
      </c>
    </row>
    <row r="19" spans="1:2">
      <c r="A19" s="2" t="s">
        <v>17</v>
      </c>
      <c r="B19">
        <v>215456.81793887165</v>
      </c>
    </row>
    <row r="20" spans="1:2">
      <c r="A20" s="2" t="s">
        <v>18</v>
      </c>
      <c r="B20">
        <v>206175.81525565524</v>
      </c>
    </row>
    <row r="21" spans="1:2">
      <c r="A21" s="2" t="s">
        <v>19</v>
      </c>
      <c r="B21">
        <v>181832.68044638852</v>
      </c>
    </row>
    <row r="22" spans="1:2">
      <c r="A22" s="2" t="s">
        <v>20</v>
      </c>
      <c r="B22">
        <v>236608.2514734774</v>
      </c>
    </row>
    <row r="23" spans="1:2">
      <c r="A23" s="2" t="s">
        <v>21</v>
      </c>
      <c r="B23">
        <v>208245.15921582814</v>
      </c>
    </row>
    <row r="24" spans="1:2">
      <c r="A24" s="2" t="s">
        <v>22</v>
      </c>
      <c r="B24">
        <v>4275860.9794628751</v>
      </c>
    </row>
    <row r="25" spans="1:2">
      <c r="A25" s="2" t="s">
        <v>23</v>
      </c>
      <c r="B25">
        <v>326001.69342889113</v>
      </c>
    </row>
    <row r="26" spans="1:2">
      <c r="A26" s="2" t="s">
        <v>24</v>
      </c>
      <c r="B26">
        <v>292367.10001287167</v>
      </c>
    </row>
    <row r="27" spans="1:2">
      <c r="A27" s="2" t="s">
        <v>25</v>
      </c>
      <c r="B27">
        <v>267174.91173303162</v>
      </c>
    </row>
    <row r="28" spans="1:2">
      <c r="A28" s="2" t="s">
        <v>26</v>
      </c>
      <c r="B28">
        <v>248316.91648822269</v>
      </c>
    </row>
    <row r="29" spans="1:2">
      <c r="A29" s="2" t="s">
        <v>27</v>
      </c>
      <c r="B29">
        <v>270439.43738551263</v>
      </c>
    </row>
    <row r="30" spans="1:2">
      <c r="A30" s="2" t="s">
        <v>28</v>
      </c>
      <c r="B30">
        <v>281222.38243639236</v>
      </c>
    </row>
    <row r="31" spans="1:2">
      <c r="A31" s="2" t="s">
        <v>29</v>
      </c>
      <c r="B31">
        <v>277305.01017948659</v>
      </c>
    </row>
    <row r="32" spans="1:2">
      <c r="A32" s="2" t="s">
        <v>30</v>
      </c>
      <c r="B32">
        <v>276554.56645545189</v>
      </c>
    </row>
    <row r="33" spans="1:2">
      <c r="A33" s="2" t="s">
        <v>31</v>
      </c>
      <c r="B33">
        <v>292340.57755284308</v>
      </c>
    </row>
    <row r="34" spans="1:2">
      <c r="A34" s="2" t="s">
        <v>32</v>
      </c>
      <c r="B34">
        <v>287364.80081666383</v>
      </c>
    </row>
    <row r="35" spans="1:2">
      <c r="A35" s="2" t="s">
        <v>33</v>
      </c>
      <c r="B35">
        <v>6381154.5383231044</v>
      </c>
    </row>
    <row r="36" spans="1:2">
      <c r="A36" s="2" t="s">
        <v>34</v>
      </c>
      <c r="B36">
        <v>785099.41520467831</v>
      </c>
    </row>
    <row r="37" spans="1:2">
      <c r="A37" s="2" t="s">
        <v>35</v>
      </c>
      <c r="B37">
        <v>811696.13259668509</v>
      </c>
    </row>
    <row r="38" spans="1:2">
      <c r="A38" s="2" t="s">
        <v>36</v>
      </c>
      <c r="B38">
        <v>770465.24064171128</v>
      </c>
    </row>
    <row r="39" spans="1:2">
      <c r="A39" s="2" t="s">
        <v>37</v>
      </c>
      <c r="B39">
        <v>751547.73869346734</v>
      </c>
    </row>
    <row r="40" spans="1:2">
      <c r="A40" s="2" t="s">
        <v>38</v>
      </c>
      <c r="B40">
        <v>755223.88059701491</v>
      </c>
    </row>
    <row r="41" spans="1:2">
      <c r="A41" s="2" t="s">
        <v>39</v>
      </c>
      <c r="B41">
        <v>805718.59296482417</v>
      </c>
    </row>
    <row r="42" spans="1:2">
      <c r="A42" s="2" t="s">
        <v>40</v>
      </c>
      <c r="B42">
        <v>820526.31578947371</v>
      </c>
    </row>
    <row r="43" spans="1:2">
      <c r="A43" s="2" t="s">
        <v>41</v>
      </c>
      <c r="B43">
        <v>683569.89247311826</v>
      </c>
    </row>
    <row r="44" spans="1:2">
      <c r="A44" s="2" t="s">
        <v>42</v>
      </c>
      <c r="B44">
        <v>745032.78688524594</v>
      </c>
    </row>
    <row r="45" spans="1:2">
      <c r="A45" s="2" t="s">
        <v>43</v>
      </c>
      <c r="B45">
        <v>913624.27745664737</v>
      </c>
    </row>
    <row r="46" spans="1:2">
      <c r="A46" s="2" t="s">
        <v>44</v>
      </c>
      <c r="B46">
        <v>2056609.7240473062</v>
      </c>
    </row>
    <row r="47" spans="1:2">
      <c r="A47" s="2" t="s">
        <v>45</v>
      </c>
      <c r="B47">
        <v>714816.90140845068</v>
      </c>
    </row>
    <row r="48" spans="1:2">
      <c r="A48" s="2" t="s">
        <v>46</v>
      </c>
      <c r="B48">
        <v>709712.32876712328</v>
      </c>
    </row>
    <row r="49" spans="1:2">
      <c r="A49" s="2" t="s">
        <v>47</v>
      </c>
      <c r="B49">
        <v>721893.51851851854</v>
      </c>
    </row>
    <row r="50" spans="1:2">
      <c r="A50" s="2" t="s">
        <v>48</v>
      </c>
      <c r="B50">
        <v>708632.5581395349</v>
      </c>
    </row>
    <row r="51" spans="1:2">
      <c r="A51" s="2" t="s">
        <v>49</v>
      </c>
      <c r="B51">
        <v>739466.66666666663</v>
      </c>
    </row>
    <row r="52" spans="1:2">
      <c r="A52" s="2" t="s">
        <v>50</v>
      </c>
      <c r="B52">
        <v>849994.21965317917</v>
      </c>
    </row>
    <row r="53" spans="1:2">
      <c r="A53" s="2" t="s">
        <v>51</v>
      </c>
      <c r="B53">
        <v>836810.97560975607</v>
      </c>
    </row>
    <row r="54" spans="1:2">
      <c r="A54" s="2" t="s">
        <v>52</v>
      </c>
      <c r="B54">
        <v>790225.80645161285</v>
      </c>
    </row>
    <row r="55" spans="1:2">
      <c r="A55" s="2" t="s">
        <v>53</v>
      </c>
      <c r="B55">
        <v>808942.67515923572</v>
      </c>
    </row>
    <row r="56" spans="1:2">
      <c r="A56" s="2" t="s">
        <v>54</v>
      </c>
      <c r="B56">
        <v>938532.93413173652</v>
      </c>
    </row>
    <row r="57" spans="1:2">
      <c r="A57" s="2" t="s">
        <v>55</v>
      </c>
      <c r="B57">
        <v>1117808.1945716802</v>
      </c>
    </row>
    <row r="58" spans="1:2">
      <c r="A58" s="2" t="s">
        <v>56</v>
      </c>
      <c r="B58">
        <v>333725.17165277095</v>
      </c>
    </row>
    <row r="59" spans="1:2">
      <c r="A59" s="2" t="s">
        <v>57</v>
      </c>
      <c r="B59">
        <v>299285.05729207263</v>
      </c>
    </row>
    <row r="60" spans="1:2">
      <c r="A60" s="2" t="s">
        <v>58</v>
      </c>
      <c r="B60">
        <v>266507.27900345193</v>
      </c>
    </row>
    <row r="61" spans="1:2">
      <c r="A61" s="2" t="s">
        <v>59</v>
      </c>
      <c r="B61">
        <v>249321.38979370249</v>
      </c>
    </row>
    <row r="62" spans="1:2">
      <c r="A62" s="2" t="s">
        <v>60</v>
      </c>
      <c r="B62">
        <v>278256.06228631036</v>
      </c>
    </row>
    <row r="63" spans="1:2">
      <c r="A63" s="2" t="s">
        <v>61</v>
      </c>
      <c r="B63">
        <v>288935.29453505937</v>
      </c>
    </row>
    <row r="64" spans="1:2">
      <c r="A64" s="2" t="s">
        <v>62</v>
      </c>
      <c r="B64">
        <v>267853.82121598639</v>
      </c>
    </row>
    <row r="65" spans="1:2">
      <c r="A65" s="2" t="s">
        <v>63</v>
      </c>
      <c r="B65">
        <v>234690.93437913267</v>
      </c>
    </row>
    <row r="66" spans="1:2">
      <c r="A66" s="2" t="s">
        <v>64</v>
      </c>
      <c r="B66">
        <v>248133.99701830564</v>
      </c>
    </row>
    <row r="67" spans="1:2">
      <c r="A67" s="2" t="s">
        <v>65</v>
      </c>
      <c r="B67">
        <v>249247.65522052554</v>
      </c>
    </row>
    <row r="68" spans="1:2">
      <c r="A68" s="2" t="s">
        <v>66</v>
      </c>
      <c r="B68">
        <v>981864.29273847106</v>
      </c>
    </row>
    <row r="69" spans="1:2">
      <c r="A69" s="2" t="s">
        <v>67</v>
      </c>
      <c r="B69">
        <v>285340.90909090912</v>
      </c>
    </row>
    <row r="70" spans="1:2">
      <c r="A70" s="2" t="s">
        <v>68</v>
      </c>
      <c r="B70">
        <v>298129.77099236642</v>
      </c>
    </row>
    <row r="71" spans="1:2">
      <c r="A71" s="2" t="s">
        <v>69</v>
      </c>
      <c r="B71">
        <v>317370.07874015748</v>
      </c>
    </row>
    <row r="72" spans="1:2">
      <c r="A72" s="2" t="s">
        <v>70</v>
      </c>
      <c r="B72">
        <v>299077.51937984495</v>
      </c>
    </row>
    <row r="73" spans="1:2">
      <c r="A73" s="2" t="s">
        <v>71</v>
      </c>
      <c r="B73">
        <v>300015.26717557252</v>
      </c>
    </row>
    <row r="74" spans="1:2">
      <c r="A74" s="2" t="s">
        <v>72</v>
      </c>
      <c r="B74">
        <v>366684.21052631579</v>
      </c>
    </row>
    <row r="75" spans="1:2">
      <c r="A75" s="2" t="s">
        <v>73</v>
      </c>
      <c r="B75">
        <v>324858.40707964601</v>
      </c>
    </row>
    <row r="76" spans="1:2">
      <c r="A76" s="2" t="s">
        <v>74</v>
      </c>
      <c r="B76">
        <v>316864.07766990294</v>
      </c>
    </row>
    <row r="77" spans="1:2">
      <c r="A77" s="2" t="s">
        <v>75</v>
      </c>
      <c r="B77">
        <v>347393.93939393939</v>
      </c>
    </row>
    <row r="78" spans="1:2">
      <c r="A78" s="2" t="s">
        <v>76</v>
      </c>
      <c r="B78">
        <v>365628.86597938143</v>
      </c>
    </row>
    <row r="79" spans="1:2">
      <c r="A79" s="2" t="s">
        <v>77</v>
      </c>
      <c r="B79">
        <v>109980.55555555556</v>
      </c>
    </row>
    <row r="80" spans="1:2">
      <c r="A80" s="2" t="s">
        <v>78</v>
      </c>
      <c r="B80">
        <v>890890.55497738032</v>
      </c>
    </row>
    <row r="81" spans="1:2">
      <c r="A81" s="2" t="s">
        <v>79</v>
      </c>
      <c r="B81">
        <v>904289.96236145485</v>
      </c>
    </row>
    <row r="82" spans="1:2">
      <c r="A82" s="2" t="s">
        <v>80</v>
      </c>
      <c r="B82">
        <v>914065.30979238194</v>
      </c>
    </row>
    <row r="83" spans="1:2">
      <c r="A83" s="2" t="s">
        <v>81</v>
      </c>
      <c r="B83">
        <v>869794.2321442758</v>
      </c>
    </row>
    <row r="84" spans="1:2">
      <c r="A84" s="2" t="s">
        <v>82</v>
      </c>
      <c r="B84">
        <v>884494.81083396613</v>
      </c>
    </row>
    <row r="85" spans="1:2">
      <c r="A85" s="2" t="s">
        <v>83</v>
      </c>
      <c r="B85">
        <v>936482.93963254592</v>
      </c>
    </row>
    <row r="86" spans="1:2">
      <c r="A86" s="2" t="s">
        <v>84</v>
      </c>
      <c r="B86">
        <v>951311.77547284926</v>
      </c>
    </row>
    <row r="87" spans="1:2">
      <c r="A87" s="2" t="s">
        <v>85</v>
      </c>
      <c r="B87">
        <v>966398.19649704231</v>
      </c>
    </row>
    <row r="88" spans="1:2">
      <c r="A88" s="2" t="s">
        <v>86</v>
      </c>
      <c r="B88">
        <v>1174599.3265993267</v>
      </c>
    </row>
    <row r="89" spans="1:2">
      <c r="A89" s="2" t="s">
        <v>87</v>
      </c>
      <c r="B89">
        <v>1870577.7331436384</v>
      </c>
    </row>
    <row r="90" spans="1:2">
      <c r="A90" s="2" t="s">
        <v>88</v>
      </c>
      <c r="B90">
        <v>56484.038317796396</v>
      </c>
    </row>
    <row r="91" spans="1:2">
      <c r="A91" s="2" t="s">
        <v>89</v>
      </c>
      <c r="B91">
        <v>521887.72391201538</v>
      </c>
    </row>
    <row r="92" spans="1:2">
      <c r="A92" s="2" t="s">
        <v>90</v>
      </c>
      <c r="B92">
        <v>618337.69862056919</v>
      </c>
    </row>
    <row r="93" spans="1:2">
      <c r="A93" s="2" t="s">
        <v>91</v>
      </c>
      <c r="B93">
        <v>687212.04819277104</v>
      </c>
    </row>
    <row r="94" spans="1:2">
      <c r="A94" s="2" t="s">
        <v>92</v>
      </c>
      <c r="B94">
        <v>649301.29870129866</v>
      </c>
    </row>
    <row r="95" spans="1:2">
      <c r="A95" s="2" t="s">
        <v>93</v>
      </c>
      <c r="B95">
        <v>636162.66666666663</v>
      </c>
    </row>
    <row r="96" spans="1:2">
      <c r="A96" s="2" t="s">
        <v>94</v>
      </c>
      <c r="B96">
        <v>768008.26446280989</v>
      </c>
    </row>
    <row r="97" spans="1:2">
      <c r="A97" s="2" t="s">
        <v>95</v>
      </c>
      <c r="B97">
        <v>722490.54054054059</v>
      </c>
    </row>
    <row r="98" spans="1:2">
      <c r="A98" s="2" t="s">
        <v>96</v>
      </c>
      <c r="B98">
        <v>715005.33333333337</v>
      </c>
    </row>
    <row r="99" spans="1:2">
      <c r="A99" s="2" t="s">
        <v>97</v>
      </c>
      <c r="B99">
        <v>891490.66666666663</v>
      </c>
    </row>
    <row r="100" spans="1:2">
      <c r="A100" s="2" t="s">
        <v>98</v>
      </c>
      <c r="B100">
        <v>877740.54054054059</v>
      </c>
    </row>
    <row r="101" spans="1:2">
      <c r="A101" s="2" t="s">
        <v>99</v>
      </c>
      <c r="B101">
        <v>2815057.4712643679</v>
      </c>
    </row>
    <row r="102" spans="1:2">
      <c r="A102" s="2" t="s">
        <v>100</v>
      </c>
      <c r="B102">
        <v>722365.91291347414</v>
      </c>
    </row>
    <row r="103" spans="1:2">
      <c r="A103" s="2" t="s">
        <v>101</v>
      </c>
      <c r="B103">
        <v>732102.85114570579</v>
      </c>
    </row>
    <row r="104" spans="1:2">
      <c r="A104" s="2" t="s">
        <v>102</v>
      </c>
      <c r="B104">
        <v>692556.29635579837</v>
      </c>
    </row>
    <row r="105" spans="1:2">
      <c r="A105" s="2" t="s">
        <v>103</v>
      </c>
      <c r="B105">
        <v>666154.92615846894</v>
      </c>
    </row>
    <row r="106" spans="1:2">
      <c r="A106" s="2" t="s">
        <v>104</v>
      </c>
      <c r="B106">
        <v>788080.87431693985</v>
      </c>
    </row>
    <row r="107" spans="1:2">
      <c r="A107" s="2" t="s">
        <v>105</v>
      </c>
      <c r="B107">
        <v>702905.46955485374</v>
      </c>
    </row>
    <row r="108" spans="1:2">
      <c r="A108" s="2" t="s">
        <v>106</v>
      </c>
      <c r="B108">
        <v>626932.44464683684</v>
      </c>
    </row>
    <row r="109" spans="1:2">
      <c r="A109" s="2" t="s">
        <v>107</v>
      </c>
      <c r="B109">
        <v>531654.32558939699</v>
      </c>
    </row>
    <row r="110" spans="1:2">
      <c r="A110" s="2" t="s">
        <v>108</v>
      </c>
      <c r="B110">
        <v>528196.33336385339</v>
      </c>
    </row>
    <row r="111" spans="1:2">
      <c r="A111" s="2" t="s">
        <v>109</v>
      </c>
      <c r="B111">
        <v>561527.92322368699</v>
      </c>
    </row>
    <row r="112" spans="1:2">
      <c r="A112" s="2" t="s">
        <v>110</v>
      </c>
      <c r="B112">
        <v>374557.43104158092</v>
      </c>
    </row>
    <row r="113" spans="1:2">
      <c r="A113" s="2" t="s">
        <v>111</v>
      </c>
      <c r="B113">
        <v>299394.70691967779</v>
      </c>
    </row>
    <row r="114" spans="1:2">
      <c r="A114" s="2" t="s">
        <v>112</v>
      </c>
      <c r="B114">
        <v>284138.06298268144</v>
      </c>
    </row>
    <row r="115" spans="1:2">
      <c r="A115" s="2" t="s">
        <v>113</v>
      </c>
      <c r="B115">
        <v>276166.93691849941</v>
      </c>
    </row>
    <row r="116" spans="1:2">
      <c r="A116" s="2" t="s">
        <v>114</v>
      </c>
      <c r="B116">
        <v>252167.36133376081</v>
      </c>
    </row>
    <row r="117" spans="1:2">
      <c r="A117" s="2" t="s">
        <v>115</v>
      </c>
      <c r="B117">
        <v>263169.76853451791</v>
      </c>
    </row>
    <row r="118" spans="1:2">
      <c r="A118" s="2" t="s">
        <v>116</v>
      </c>
      <c r="B118">
        <v>265489.62919641443</v>
      </c>
    </row>
    <row r="119" spans="1:2">
      <c r="A119" s="2" t="s">
        <v>117</v>
      </c>
      <c r="B119">
        <v>265615.20519690809</v>
      </c>
    </row>
    <row r="120" spans="1:2">
      <c r="A120" s="2" t="s">
        <v>118</v>
      </c>
      <c r="B120">
        <v>259469.90227478032</v>
      </c>
    </row>
    <row r="121" spans="1:2">
      <c r="A121" s="2" t="s">
        <v>119</v>
      </c>
      <c r="B121">
        <v>273834.08687832532</v>
      </c>
    </row>
    <row r="122" spans="1:2">
      <c r="A122" s="2" t="s">
        <v>120</v>
      </c>
      <c r="B122">
        <v>265231.30711981183</v>
      </c>
    </row>
    <row r="123" spans="1:2">
      <c r="A123" s="2" t="s">
        <v>121</v>
      </c>
      <c r="B123">
        <v>1638032.5123987962</v>
      </c>
    </row>
    <row r="124" spans="1:2">
      <c r="A124" s="2" t="s">
        <v>122</v>
      </c>
      <c r="B124">
        <v>756588.13559322036</v>
      </c>
    </row>
    <row r="125" spans="1:2">
      <c r="A125" s="2" t="s">
        <v>123</v>
      </c>
      <c r="B125">
        <v>730553.84615384613</v>
      </c>
    </row>
    <row r="126" spans="1:2">
      <c r="A126" s="2" t="s">
        <v>124</v>
      </c>
      <c r="B126">
        <v>637932.5732899023</v>
      </c>
    </row>
    <row r="127" spans="1:2">
      <c r="A127" s="2" t="s">
        <v>125</v>
      </c>
      <c r="B127">
        <v>556238.87147335429</v>
      </c>
    </row>
    <row r="128" spans="1:2">
      <c r="A128" s="2" t="s">
        <v>126</v>
      </c>
      <c r="B128">
        <v>535253.23076923075</v>
      </c>
    </row>
    <row r="129" spans="1:2">
      <c r="A129" s="2" t="s">
        <v>127</v>
      </c>
      <c r="B129">
        <v>715626.39279139624</v>
      </c>
    </row>
    <row r="130" spans="1:2">
      <c r="A130" s="2" t="s">
        <v>128</v>
      </c>
      <c r="B130">
        <v>687814.11012423504</v>
      </c>
    </row>
    <row r="131" spans="1:2">
      <c r="A131" s="2" t="s">
        <v>129</v>
      </c>
      <c r="B131">
        <v>749185.0696245759</v>
      </c>
    </row>
    <row r="132" spans="1:2">
      <c r="A132" s="2" t="s">
        <v>130</v>
      </c>
      <c r="B132">
        <v>916234.1144397821</v>
      </c>
    </row>
    <row r="133" spans="1:2">
      <c r="A133" s="2" t="s">
        <v>131</v>
      </c>
      <c r="B133">
        <v>865952.46549198881</v>
      </c>
    </row>
    <row r="134" spans="1:2">
      <c r="A134" s="2" t="s">
        <v>132</v>
      </c>
      <c r="B134">
        <v>344953.48640789586</v>
      </c>
    </row>
    <row r="135" spans="1:2">
      <c r="A135" s="2" t="s">
        <v>133</v>
      </c>
      <c r="B135">
        <v>559790.15721120988</v>
      </c>
    </row>
    <row r="136" spans="1:2">
      <c r="A136" s="2" t="s">
        <v>134</v>
      </c>
      <c r="B136">
        <v>550264.72675656492</v>
      </c>
    </row>
    <row r="137" spans="1:2">
      <c r="A137" s="2" t="s">
        <v>135</v>
      </c>
      <c r="B137">
        <v>567387.24373576313</v>
      </c>
    </row>
    <row r="138" spans="1:2">
      <c r="A138" s="2" t="s">
        <v>136</v>
      </c>
      <c r="B138">
        <v>538857.14285714284</v>
      </c>
    </row>
    <row r="139" spans="1:2">
      <c r="A139" s="2" t="s">
        <v>137</v>
      </c>
      <c r="B139">
        <v>546497.66355140181</v>
      </c>
    </row>
    <row r="140" spans="1:2">
      <c r="A140" s="2" t="s">
        <v>138</v>
      </c>
      <c r="B140">
        <v>683196.67832167831</v>
      </c>
    </row>
    <row r="141" spans="1:2">
      <c r="A141" s="2" t="s">
        <v>139</v>
      </c>
      <c r="B141">
        <v>680145.92658907792</v>
      </c>
    </row>
    <row r="142" spans="1:2">
      <c r="A142" s="2" t="s">
        <v>140</v>
      </c>
      <c r="B142">
        <v>773865.99817684595</v>
      </c>
    </row>
    <row r="143" spans="1:2">
      <c r="A143" s="2" t="s">
        <v>141</v>
      </c>
      <c r="B143">
        <v>811023.87511478423</v>
      </c>
    </row>
    <row r="144" spans="1:2">
      <c r="A144" s="2" t="s">
        <v>142</v>
      </c>
      <c r="B144">
        <v>754508.20397543232</v>
      </c>
    </row>
    <row r="145" spans="1:2">
      <c r="A145" s="2" t="s">
        <v>143</v>
      </c>
      <c r="B145" s="4">
        <f>Ingresos_Millones!B145*1000000/Empleados!B145</f>
        <v>42151.506767026782</v>
      </c>
    </row>
    <row r="146" spans="1:2">
      <c r="A146" s="2" t="s">
        <v>144</v>
      </c>
      <c r="B146" s="4">
        <f>Ingresos_Millones!B146*1000000/Empleados!B146</f>
        <v>42374.679641966657</v>
      </c>
    </row>
    <row r="147" spans="1:2">
      <c r="A147" s="2" t="s">
        <v>145</v>
      </c>
      <c r="B147" s="4">
        <f>Ingresos_Millones!B147*1000000/Empleados!B147</f>
        <v>50913.428969119392</v>
      </c>
    </row>
    <row r="148" spans="1:2">
      <c r="A148" s="2" t="s">
        <v>146</v>
      </c>
      <c r="B148" s="4">
        <f>Ingresos_Millones!B148*1000000/Empleados!B148</f>
        <v>47290.168947197591</v>
      </c>
    </row>
    <row r="149" spans="1:2">
      <c r="A149" s="2" t="s">
        <v>147</v>
      </c>
      <c r="B149" s="4">
        <f>Ingresos_Millones!B149*1000000/Empleados!B149</f>
        <v>61766.426058860045</v>
      </c>
    </row>
    <row r="150" spans="1:2">
      <c r="A150" s="2" t="s">
        <v>148</v>
      </c>
      <c r="B150" s="4">
        <f>Ingresos_Millones!B150*1000000/Empleados!B150</f>
        <v>77791.348124456592</v>
      </c>
    </row>
    <row r="151" spans="1:2">
      <c r="A151" s="2" t="s">
        <v>149</v>
      </c>
      <c r="B151" s="4">
        <f>Ingresos_Millones!B151*1000000/Empleados!B151</f>
        <v>83384.802295512287</v>
      </c>
    </row>
    <row r="152" spans="1:2">
      <c r="A152" s="2" t="s">
        <v>150</v>
      </c>
      <c r="B152" s="4">
        <f>Ingresos_Millones!B152*1000000/Empleados!B152</f>
        <v>76979.51250064082</v>
      </c>
    </row>
    <row r="153" spans="1:2">
      <c r="A153" s="2" t="s">
        <v>151</v>
      </c>
      <c r="B153" s="4">
        <f>Ingresos_Millones!B153*1000000/Empleados!B153</f>
        <v>99101.116389342846</v>
      </c>
    </row>
    <row r="154" spans="1:2">
      <c r="A154" s="2" t="s">
        <v>152</v>
      </c>
      <c r="B154" s="4">
        <f>Ingresos_Millones!B154*1000000/Empleados!B154</f>
        <v>113669.64391053001</v>
      </c>
    </row>
    <row r="155" spans="1:2">
      <c r="A155" s="2" t="s">
        <v>153</v>
      </c>
      <c r="B155" s="4">
        <f>Ingresos_Millones!B155*1000000/Empleados!B155</f>
        <v>110586.25407851805</v>
      </c>
    </row>
    <row r="156" spans="1:2">
      <c r="A156" s="2" t="s">
        <v>154</v>
      </c>
      <c r="B156" s="4">
        <f>Ingresos_Millones!B156*1000000/Empleados!B156</f>
        <v>144842.6252646436</v>
      </c>
    </row>
    <row r="157" spans="1:2">
      <c r="A157" s="2" t="s">
        <v>155</v>
      </c>
      <c r="B157" s="4">
        <f>Ingresos_Millones!B157*1000000/Empleados!B157</f>
        <v>139425.10121457491</v>
      </c>
    </row>
    <row r="158" spans="1:2">
      <c r="A158" s="2" t="s">
        <v>156</v>
      </c>
      <c r="B158" s="4">
        <f>Ingresos_Millones!B158*1000000/Empleados!B158</f>
        <v>343658.64481993514</v>
      </c>
    </row>
    <row r="159" spans="1:2">
      <c r="A159" s="2" t="s">
        <v>157</v>
      </c>
      <c r="B159" s="4">
        <f>Ingresos_Millones!B159*1000000/Empleados!B160</f>
        <v>244934.59947924645</v>
      </c>
    </row>
    <row r="160" spans="1:2">
      <c r="A160" s="2" t="s">
        <v>158</v>
      </c>
      <c r="B160" s="4">
        <f>Ingresos_Millones!B160*1000000/Empleados!B161</f>
        <v>134755.20399666944</v>
      </c>
    </row>
    <row r="161" spans="1:2">
      <c r="A161" s="2" t="s">
        <v>159</v>
      </c>
      <c r="B161" s="4">
        <f>Ingresos_Millones!B161*1000000/Empleados!B161</f>
        <v>233143.44712739383</v>
      </c>
    </row>
    <row r="162" spans="1:2">
      <c r="A162" s="2" t="s">
        <v>160</v>
      </c>
      <c r="B162" s="4">
        <f>Ingresos_Millones!B162*1000000/Empleados!B162</f>
        <v>439626.93324046949</v>
      </c>
    </row>
    <row r="163" spans="1:2">
      <c r="A163" s="2" t="s">
        <v>161</v>
      </c>
      <c r="B163" s="4">
        <f>Ingresos_Millones!B163*1000000/Empleados!B163</f>
        <v>511871.04298567143</v>
      </c>
    </row>
    <row r="164" spans="1:2">
      <c r="A164" s="2" t="s">
        <v>162</v>
      </c>
      <c r="B164">
        <v>445694.41892674932</v>
      </c>
    </row>
    <row r="165" spans="1:2">
      <c r="A165" s="2" t="s">
        <v>163</v>
      </c>
      <c r="B165">
        <v>542078.75919025077</v>
      </c>
    </row>
    <row r="166" spans="1:2">
      <c r="A166" s="2" t="s">
        <v>164</v>
      </c>
      <c r="B166">
        <v>637143.63927887054</v>
      </c>
    </row>
    <row r="167" spans="1:2">
      <c r="A167" s="2" t="s">
        <v>165</v>
      </c>
      <c r="B167">
        <v>3515344.2622950817</v>
      </c>
    </row>
    <row r="168" spans="1:2">
      <c r="A168" s="2" t="s">
        <v>166</v>
      </c>
      <c r="B168">
        <v>450400.08148966008</v>
      </c>
    </row>
    <row r="169" spans="1:2">
      <c r="A169" s="2" t="s">
        <v>167</v>
      </c>
      <c r="B169">
        <v>456597.59078212292</v>
      </c>
    </row>
    <row r="170" spans="1:2">
      <c r="A170" s="2" t="s">
        <v>168</v>
      </c>
      <c r="B170">
        <v>453211.1794743716</v>
      </c>
    </row>
    <row r="171" spans="1:2">
      <c r="A171" s="2" t="s">
        <v>169</v>
      </c>
      <c r="B171">
        <v>387820.20600712043</v>
      </c>
    </row>
    <row r="172" spans="1:2">
      <c r="A172" s="2" t="s">
        <v>170</v>
      </c>
      <c r="B172">
        <v>383370.11241154274</v>
      </c>
    </row>
    <row r="173" spans="1:2">
      <c r="A173" s="2" t="s">
        <v>171</v>
      </c>
      <c r="B173">
        <v>418876.11061616626</v>
      </c>
    </row>
    <row r="174" spans="1:2">
      <c r="A174" s="2" t="s">
        <v>172</v>
      </c>
      <c r="B174">
        <v>421272.48754106421</v>
      </c>
    </row>
    <row r="175" spans="1:2">
      <c r="A175" s="2" t="s">
        <v>173</v>
      </c>
      <c r="B175">
        <v>383300.00377315778</v>
      </c>
    </row>
    <row r="176" spans="1:2">
      <c r="A176" s="2" t="s">
        <v>174</v>
      </c>
      <c r="B176">
        <v>439691.79044247157</v>
      </c>
    </row>
    <row r="177" spans="1:2">
      <c r="A177" s="2" t="s">
        <v>175</v>
      </c>
      <c r="B177">
        <v>434570.17926768819</v>
      </c>
    </row>
    <row r="178" spans="1:2">
      <c r="A178" s="2" t="s">
        <v>176</v>
      </c>
      <c r="B178">
        <v>318204.10868124588</v>
      </c>
    </row>
    <row r="179" spans="1:2">
      <c r="A179" s="2" t="s">
        <v>177</v>
      </c>
      <c r="B179">
        <v>419199.74577300897</v>
      </c>
    </row>
    <row r="180" spans="1:2">
      <c r="A180" s="2" t="s">
        <v>178</v>
      </c>
      <c r="B180">
        <v>406714.27183522785</v>
      </c>
    </row>
    <row r="181" spans="1:2">
      <c r="A181" s="2" t="s">
        <v>179</v>
      </c>
      <c r="B181">
        <v>417744.20701743721</v>
      </c>
    </row>
    <row r="182" spans="1:2">
      <c r="A182" s="2" t="s">
        <v>180</v>
      </c>
      <c r="B182">
        <v>394341.52985114331</v>
      </c>
    </row>
    <row r="183" spans="1:2">
      <c r="A183" s="2" t="s">
        <v>181</v>
      </c>
      <c r="B183">
        <v>394163.86333918216</v>
      </c>
    </row>
    <row r="184" spans="1:2">
      <c r="A184" s="2" t="s">
        <v>182</v>
      </c>
      <c r="B184">
        <v>455713.01139358553</v>
      </c>
    </row>
    <row r="185" spans="1:2">
      <c r="A185" s="2" t="s">
        <v>183</v>
      </c>
      <c r="B185">
        <v>464895.19739519741</v>
      </c>
    </row>
    <row r="186" spans="1:2">
      <c r="A186" s="2" t="s">
        <v>184</v>
      </c>
      <c r="B186">
        <v>400186.1872978888</v>
      </c>
    </row>
    <row r="187" spans="1:2">
      <c r="A187" s="2" t="s">
        <v>185</v>
      </c>
      <c r="B187">
        <v>486444.30741633498</v>
      </c>
    </row>
    <row r="188" spans="1:2">
      <c r="A188" s="2" t="s">
        <v>186</v>
      </c>
      <c r="B188">
        <v>493336.56409013813</v>
      </c>
    </row>
    <row r="189" spans="1:2">
      <c r="A189" s="2" t="s">
        <v>187</v>
      </c>
      <c r="B189">
        <v>365217.45566509757</v>
      </c>
    </row>
    <row r="190" spans="1:2">
      <c r="A190" s="2" t="s">
        <v>188</v>
      </c>
      <c r="B190">
        <v>606177.77777777775</v>
      </c>
    </row>
    <row r="191" spans="1:2">
      <c r="A191" s="2" t="s">
        <v>189</v>
      </c>
      <c r="B191">
        <v>619723.89908367209</v>
      </c>
    </row>
    <row r="192" spans="1:2">
      <c r="A192" s="2" t="s">
        <v>190</v>
      </c>
      <c r="B192">
        <v>581511.82275181531</v>
      </c>
    </row>
    <row r="193" spans="1:2">
      <c r="A193" s="2" t="s">
        <v>191</v>
      </c>
      <c r="B193">
        <v>575323.70953630796</v>
      </c>
    </row>
    <row r="194" spans="1:2">
      <c r="A194" s="2" t="s">
        <v>192</v>
      </c>
      <c r="B194">
        <v>517686.78350243776</v>
      </c>
    </row>
    <row r="195" spans="1:2">
      <c r="A195" s="2" t="s">
        <v>193</v>
      </c>
      <c r="B195">
        <v>397813.30599298334</v>
      </c>
    </row>
    <row r="196" spans="1:2">
      <c r="A196" s="2" t="s">
        <v>194</v>
      </c>
      <c r="B196">
        <v>364356.36784197949</v>
      </c>
    </row>
    <row r="197" spans="1:2">
      <c r="A197" s="2" t="s">
        <v>195</v>
      </c>
      <c r="B197">
        <v>375234.56633058743</v>
      </c>
    </row>
    <row r="198" spans="1:2">
      <c r="A198" s="2" t="s">
        <v>196</v>
      </c>
      <c r="B198">
        <v>433265.8538098784</v>
      </c>
    </row>
    <row r="199" spans="1:2">
      <c r="A199" s="2" t="s">
        <v>197</v>
      </c>
      <c r="B199">
        <v>459224.28279233864</v>
      </c>
    </row>
    <row r="200" spans="1:2">
      <c r="A200" s="2" t="s">
        <v>198</v>
      </c>
      <c r="B200">
        <v>362739.60216998192</v>
      </c>
    </row>
    <row r="201" spans="1:2">
      <c r="A201" s="2" t="s">
        <v>199</v>
      </c>
      <c r="B201">
        <v>102384.57364341085</v>
      </c>
    </row>
    <row r="202" spans="1:2">
      <c r="A202" s="2" t="s">
        <v>200</v>
      </c>
      <c r="B202">
        <v>119965.4954954955</v>
      </c>
    </row>
    <row r="203" spans="1:2">
      <c r="A203" s="2" t="s">
        <v>201</v>
      </c>
      <c r="B203">
        <v>131169.24528301886</v>
      </c>
    </row>
    <row r="204" spans="1:2">
      <c r="A204" s="2" t="s">
        <v>202</v>
      </c>
      <c r="B204">
        <v>133219.90566037735</v>
      </c>
    </row>
    <row r="205" spans="1:2">
      <c r="A205" s="2" t="s">
        <v>203</v>
      </c>
      <c r="B205">
        <v>185930.11288271972</v>
      </c>
    </row>
    <row r="206" spans="1:2">
      <c r="A206" s="2" t="s">
        <v>204</v>
      </c>
      <c r="B206">
        <v>263025.70093457942</v>
      </c>
    </row>
    <row r="207" spans="1:2">
      <c r="A207" s="2" t="s">
        <v>205</v>
      </c>
      <c r="B207">
        <v>228238.16615703111</v>
      </c>
    </row>
    <row r="208" spans="1:2">
      <c r="A208" s="2" t="s">
        <v>206</v>
      </c>
      <c r="B208">
        <v>207125.90317487242</v>
      </c>
    </row>
    <row r="209" spans="1:2">
      <c r="A209" s="2" t="s">
        <v>207</v>
      </c>
      <c r="B209">
        <v>259638.42595280954</v>
      </c>
    </row>
    <row r="210" spans="1:2">
      <c r="A210" s="2" t="s">
        <v>208</v>
      </c>
      <c r="B210">
        <v>290113.83695190219</v>
      </c>
    </row>
    <row r="211" spans="1:2">
      <c r="A211" s="2" t="s">
        <v>209</v>
      </c>
      <c r="B211">
        <v>2412098.7171303257</v>
      </c>
    </row>
    <row r="212" spans="1:2">
      <c r="A212" s="2" t="s">
        <v>210</v>
      </c>
      <c r="B212">
        <v>796711.82435876678</v>
      </c>
    </row>
    <row r="213" spans="1:2">
      <c r="A213" s="2" t="s">
        <v>211</v>
      </c>
      <c r="B213">
        <v>756782.88454444858</v>
      </c>
    </row>
    <row r="214" spans="1:2">
      <c r="A214" s="2" t="s">
        <v>212</v>
      </c>
      <c r="B214">
        <v>719838.48141141329</v>
      </c>
    </row>
    <row r="215" spans="1:2">
      <c r="A215" s="2" t="s">
        <v>213</v>
      </c>
      <c r="B215">
        <v>678151.89880674274</v>
      </c>
    </row>
    <row r="216" spans="1:2">
      <c r="A216" s="2" t="s">
        <v>214</v>
      </c>
      <c r="B216">
        <v>698854.42247801449</v>
      </c>
    </row>
    <row r="217" spans="1:2">
      <c r="A217" s="2" t="s">
        <v>215</v>
      </c>
      <c r="B217">
        <v>735060.8029767843</v>
      </c>
    </row>
    <row r="218" spans="1:2">
      <c r="A218" s="2" t="s">
        <v>216</v>
      </c>
      <c r="B218">
        <v>765663.81674463628</v>
      </c>
    </row>
    <row r="219" spans="1:2">
      <c r="A219" s="2" t="s">
        <v>217</v>
      </c>
      <c r="B219">
        <v>700883.46988530725</v>
      </c>
    </row>
    <row r="220" spans="1:2">
      <c r="A220" s="2" t="s">
        <v>218</v>
      </c>
      <c r="B220">
        <v>749262.23857817648</v>
      </c>
    </row>
    <row r="221" spans="1:2">
      <c r="A221" s="2" t="s">
        <v>219</v>
      </c>
      <c r="B221">
        <v>731518.6483137235</v>
      </c>
    </row>
    <row r="222" spans="1:2">
      <c r="A222" s="2" t="s">
        <v>220</v>
      </c>
      <c r="B222">
        <v>115867.70428015564</v>
      </c>
    </row>
    <row r="223" spans="1:2">
      <c r="A223" s="2" t="s">
        <v>221</v>
      </c>
      <c r="B223">
        <v>259188.90523219164</v>
      </c>
    </row>
    <row r="224" spans="1:2">
      <c r="A224" s="2" t="s">
        <v>222</v>
      </c>
      <c r="B224">
        <v>278345.98481821816</v>
      </c>
    </row>
    <row r="225" spans="1:2">
      <c r="A225" s="2" t="s">
        <v>223</v>
      </c>
      <c r="B225">
        <v>279222.70908744523</v>
      </c>
    </row>
    <row r="226" spans="1:2">
      <c r="A226" s="2" t="s">
        <v>224</v>
      </c>
      <c r="B226">
        <v>262616.78619887575</v>
      </c>
    </row>
    <row r="227" spans="1:2">
      <c r="A227" s="2" t="s">
        <v>225</v>
      </c>
      <c r="B227">
        <v>234448.37568349953</v>
      </c>
    </row>
    <row r="228" spans="1:2">
      <c r="A228" s="2" t="s">
        <v>226</v>
      </c>
      <c r="B228">
        <v>234637.93103448275</v>
      </c>
    </row>
    <row r="229" spans="1:2">
      <c r="A229" s="2" t="s">
        <v>227</v>
      </c>
      <c r="B229">
        <v>238975.75757575757</v>
      </c>
    </row>
    <row r="230" spans="1:2">
      <c r="A230" s="2" t="s">
        <v>228</v>
      </c>
      <c r="B230">
        <v>206626.58227848102</v>
      </c>
    </row>
    <row r="231" spans="1:2">
      <c r="A231" s="2" t="s">
        <v>229</v>
      </c>
      <c r="B231">
        <v>229379.74683544305</v>
      </c>
    </row>
    <row r="232" spans="1:2">
      <c r="A232" s="2" t="s">
        <v>230</v>
      </c>
      <c r="B232">
        <v>239493.67088607594</v>
      </c>
    </row>
    <row r="233" spans="1:2">
      <c r="A233" s="2" t="s">
        <v>231</v>
      </c>
      <c r="B233" s="4">
        <f>Ingresos_Millones!B233*1000000/Empleados!B233</f>
        <v>151712.69231077572</v>
      </c>
    </row>
    <row r="234" spans="1:2">
      <c r="A234" s="2" t="s">
        <v>232</v>
      </c>
      <c r="B234" s="4">
        <f>Ingresos_Millones!B234*1000000/Empleados!B234</f>
        <v>130687.04737688569</v>
      </c>
    </row>
    <row r="235" spans="1:2">
      <c r="A235" s="2" t="s">
        <v>233</v>
      </c>
      <c r="B235" s="4">
        <f>Ingresos_Millones!B235*1000000/Empleados!B235</f>
        <v>141371.14010081132</v>
      </c>
    </row>
    <row r="236" spans="1:2">
      <c r="A236" s="2" t="s">
        <v>234</v>
      </c>
      <c r="B236" s="4">
        <f>Ingresos_Millones!B236*1000000/Empleados!B236</f>
        <v>173469.97337789604</v>
      </c>
    </row>
    <row r="237" spans="1:2">
      <c r="A237" s="2" t="s">
        <v>235</v>
      </c>
      <c r="B237">
        <f>Ingresos_Millones!B237*1000000/Empleados!B237</f>
        <v>140709.40170940172</v>
      </c>
    </row>
    <row r="238" spans="1:2">
      <c r="A238" s="2" t="s">
        <v>236</v>
      </c>
      <c r="B238">
        <f>Ingresos_Millones!B238*1000000/Empleados!B238</f>
        <v>122039.37007874016</v>
      </c>
    </row>
    <row r="239" spans="1:2">
      <c r="A239" s="2" t="s">
        <v>237</v>
      </c>
      <c r="B239">
        <f>Ingresos_Millones!B239*1000000/Empleados!B239</f>
        <v>109100.71942446043</v>
      </c>
    </row>
    <row r="240" spans="1:2">
      <c r="A240" s="2" t="s">
        <v>238</v>
      </c>
      <c r="B240">
        <f>Ingresos_Millones!B240*1000000/Empleados!B240</f>
        <v>114903.44827586207</v>
      </c>
    </row>
    <row r="241" spans="1:2">
      <c r="A241" s="2" t="s">
        <v>278</v>
      </c>
      <c r="B241">
        <f>Ingresos_Millones!B241*1000000/Empleados!B241</f>
        <v>100944.05594405594</v>
      </c>
    </row>
    <row r="242" spans="1:2">
      <c r="A242" s="2" t="s">
        <v>240</v>
      </c>
      <c r="B242">
        <f>Ingresos_Millones!B242*1000000/Empleados!B242</f>
        <v>101822.69503546099</v>
      </c>
    </row>
    <row r="243" spans="1:2">
      <c r="A243" s="2" t="s">
        <v>241</v>
      </c>
      <c r="B243">
        <f>Ingresos_Millones!B243*1000000/Empleados!B243</f>
        <v>86529.801324503307</v>
      </c>
    </row>
    <row r="244" spans="1:2">
      <c r="A244" s="2" t="s">
        <v>242</v>
      </c>
      <c r="B244">
        <f>Ingresos_Millones!B244*1000000/Empleados!B244</f>
        <v>100761.29032258065</v>
      </c>
    </row>
    <row r="245" spans="1:2">
      <c r="A245" s="2" t="s">
        <v>243</v>
      </c>
      <c r="B245">
        <f>Ingresos_Millones!B245*1000000/Empleados!B245</f>
        <v>109306.25</v>
      </c>
    </row>
    <row r="246" spans="1:2">
      <c r="A246" s="2" t="s">
        <v>244</v>
      </c>
      <c r="B246">
        <f>Ingresos_Millones!B246*1000000/Empleados!B246</f>
        <v>705518.86792452831</v>
      </c>
    </row>
    <row r="247" spans="1:2">
      <c r="A247" s="2" t="s">
        <v>245</v>
      </c>
      <c r="B247">
        <f>Ingresos_Millones!B247*1000000/Empleados!B247</f>
        <v>718834.58646616538</v>
      </c>
    </row>
    <row r="248" spans="1:2">
      <c r="A248" s="2" t="s">
        <v>246</v>
      </c>
      <c r="B248">
        <f>Ingresos_Millones!B248*1000000/Empleados!B248</f>
        <v>802129.03225806449</v>
      </c>
    </row>
    <row r="249" spans="1:2">
      <c r="A249" s="2" t="s">
        <v>247</v>
      </c>
      <c r="B249">
        <f>Ingresos_Millones!B249*1000000/Empleados!B249</f>
        <v>846230.03194888181</v>
      </c>
    </row>
    <row r="250" spans="1:2">
      <c r="A250" s="2" t="s">
        <v>248</v>
      </c>
      <c r="B250">
        <f>Ingresos_Millones!B250*1000000/Empleados!B250</f>
        <v>766090.90909090906</v>
      </c>
    </row>
    <row r="251" spans="1:2">
      <c r="A251" s="2" t="s">
        <v>249</v>
      </c>
      <c r="B251">
        <f>Ingresos_Millones!B251*1000000/Empleados!B251</f>
        <v>772262.29508196726</v>
      </c>
    </row>
    <row r="252" spans="1:2">
      <c r="A252" s="2" t="s">
        <v>279</v>
      </c>
      <c r="B252">
        <f>Ingresos_Millones!B252*1000000/Empleados!B252</f>
        <v>642146.89265536726</v>
      </c>
    </row>
    <row r="253" spans="1:2">
      <c r="A253" s="2" t="s">
        <v>251</v>
      </c>
      <c r="B253">
        <f>Ingresos_Millones!B253*1000000/Empleados!B253</f>
        <v>395648.64864864864</v>
      </c>
    </row>
    <row r="254" spans="1:2">
      <c r="A254" s="2" t="s">
        <v>252</v>
      </c>
      <c r="B254">
        <f>Ingresos_Millones!B254*1000000/Empleados!B254</f>
        <v>402268.29268292681</v>
      </c>
    </row>
    <row r="255" spans="1:2">
      <c r="A255" s="2" t="s">
        <v>253</v>
      </c>
      <c r="B255">
        <f>Ingresos_Millones!B255*1000000/Empleados!B255</f>
        <v>745911.11111111112</v>
      </c>
    </row>
    <row r="256" spans="1:2">
      <c r="A256" s="2" t="s">
        <v>254</v>
      </c>
      <c r="B256">
        <f>Ingresos_Millones!B256*1000000/Empleados!B256</f>
        <v>866666.66666666663</v>
      </c>
    </row>
    <row r="257" spans="1:2">
      <c r="A257" s="2" t="s">
        <v>255</v>
      </c>
      <c r="B257">
        <f>Ingresos_Millones!B257*1000000/Empleados!B257</f>
        <v>143262.21862952368</v>
      </c>
    </row>
    <row r="258" spans="1:2">
      <c r="A258" s="2" t="s">
        <v>256</v>
      </c>
      <c r="B258">
        <f>Ingresos_Millones!B258*1000000/Empleados!B258</f>
        <v>171498.01216649901</v>
      </c>
    </row>
    <row r="259" spans="1:2">
      <c r="A259" s="2" t="s">
        <v>257</v>
      </c>
      <c r="B259">
        <f>Ingresos_Millones!B259*1000000/Empleados!B259</f>
        <v>166585.42745296124</v>
      </c>
    </row>
    <row r="260" spans="1:2">
      <c r="A260" s="2" t="s">
        <v>258</v>
      </c>
      <c r="B260">
        <f>Ingresos_Millones!B260*1000000/Empleados!B260</f>
        <v>170416.65409238861</v>
      </c>
    </row>
    <row r="261" spans="1:2">
      <c r="A261" s="2" t="s">
        <v>259</v>
      </c>
      <c r="B261">
        <f>Ingresos_Millones!B261*1000000/Empleados!B261</f>
        <v>247125.97969469693</v>
      </c>
    </row>
    <row r="262" spans="1:2">
      <c r="A262" s="2" t="s">
        <v>260</v>
      </c>
      <c r="B262">
        <f>Ingresos_Millones!B262*1000000/Empleados!B262</f>
        <v>221440.10286137686</v>
      </c>
    </row>
    <row r="263" spans="1:2">
      <c r="A263" s="2" t="s">
        <v>280</v>
      </c>
      <c r="B263">
        <f>Ingresos_Millones!B263*1000000/Empleados!B263</f>
        <v>351953.06030709535</v>
      </c>
    </row>
    <row r="264" spans="1:2">
      <c r="A264" s="2" t="s">
        <v>262</v>
      </c>
      <c r="B264">
        <f>Ingresos_Millones!B264*1000000/Empleados!B264</f>
        <v>408401.49289287702</v>
      </c>
    </row>
    <row r="265" spans="1:2">
      <c r="A265" s="2" t="s">
        <v>263</v>
      </c>
      <c r="B265">
        <f>Ingresos_Millones!B265*1000000/Empleados!B265</f>
        <v>400243.90243902442</v>
      </c>
    </row>
    <row r="266" spans="1:2">
      <c r="A266" s="2" t="s">
        <v>264</v>
      </c>
      <c r="B266">
        <f>Ingresos_Millones!B266*1000000/Empleados!B266</f>
        <v>429362.63736263738</v>
      </c>
    </row>
    <row r="267" spans="1:2">
      <c r="A267" s="2" t="s">
        <v>265</v>
      </c>
      <c r="B267">
        <f>Ingresos_Millones!B267*1000000/Empleados!B267</f>
        <v>434164.64891041163</v>
      </c>
    </row>
    <row r="268" spans="1:2">
      <c r="A268" s="2" t="s">
        <v>266</v>
      </c>
      <c r="B268">
        <f>Ingresos_Millones!B268*1000000/Empleados!B268</f>
        <v>395149.45769441006</v>
      </c>
    </row>
    <row r="269" spans="1:2">
      <c r="A269" s="2" t="s">
        <v>267</v>
      </c>
      <c r="B269">
        <f>Ingresos_Millones!B269*1000000/Empleados!B269</f>
        <v>375538.0515943896</v>
      </c>
    </row>
    <row r="270" spans="1:2">
      <c r="A270" s="2" t="s">
        <v>268</v>
      </c>
      <c r="B270">
        <f>Ingresos_Millones!B270*1000000/Empleados!B270</f>
        <v>378931.3545903319</v>
      </c>
    </row>
    <row r="271" spans="1:2">
      <c r="A271" s="2" t="s">
        <v>269</v>
      </c>
      <c r="B271">
        <f>Ingresos_Millones!B271*1000000/Empleados!B271</f>
        <v>420765.73234848242</v>
      </c>
    </row>
    <row r="272" spans="1:2">
      <c r="A272" s="2" t="s">
        <v>270</v>
      </c>
      <c r="B272">
        <f>Ingresos_Millones!B272*1000000/Empleados!B272</f>
        <v>433665.81045468192</v>
      </c>
    </row>
    <row r="273" spans="1:2">
      <c r="A273" s="2" t="s">
        <v>271</v>
      </c>
      <c r="B273">
        <f>Ingresos_Millones!B273*1000000/Empleados!B273</f>
        <v>447681.23221161898</v>
      </c>
    </row>
    <row r="274" spans="1:2">
      <c r="A274" s="2" t="s">
        <v>281</v>
      </c>
      <c r="B274">
        <f>Ingresos_Millones!B274*1000000/Empleados!B274</f>
        <v>528104.92505353317</v>
      </c>
    </row>
    <row r="275" spans="1:2">
      <c r="A275" s="2" t="s">
        <v>273</v>
      </c>
      <c r="B275">
        <f>Ingresos_Millones!B275*1000000/Empleados!B275</f>
        <v>483169.84681537224</v>
      </c>
    </row>
    <row r="276" spans="1:2">
      <c r="A276" s="2" t="s">
        <v>274</v>
      </c>
      <c r="B276">
        <f>Ingresos_Millones!B276*1000000/Empleados!B276</f>
        <v>482033.33333333331</v>
      </c>
    </row>
    <row r="277" spans="1:2">
      <c r="A277" s="2" t="s">
        <v>275</v>
      </c>
      <c r="B277">
        <f>Ingresos_Millones!B277*1000000/Empleados!B277</f>
        <v>591741.93548387091</v>
      </c>
    </row>
    <row r="278" spans="1:2">
      <c r="A278" s="2" t="s">
        <v>276</v>
      </c>
      <c r="B278">
        <f>Ingresos_Millones!B278*1000000/Empleados!B278</f>
        <v>606909.09090909094</v>
      </c>
    </row>
  </sheetData>
  <phoneticPr fontId="2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7F892-5975-48C2-BDAC-D2EC95F8CD4E}">
  <sheetPr codeName="Hoja3"/>
  <dimension ref="A1:B278"/>
  <sheetViews>
    <sheetView topLeftCell="A251" workbookViewId="0">
      <selection activeCell="A275" sqref="A275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Ingresos_Millones!B2/Activos_Millones!B2</f>
        <v>0.59715204056100069</v>
      </c>
    </row>
    <row r="3" spans="1:2">
      <c r="A3" s="2" t="s">
        <v>1</v>
      </c>
      <c r="B3">
        <f>Ingresos_Millones!B3/Activos_Millones!B3</f>
        <v>0.56822143947858683</v>
      </c>
    </row>
    <row r="4" spans="1:2">
      <c r="A4" s="2" t="s">
        <v>2</v>
      </c>
      <c r="B4">
        <f>Ingresos_Millones!B4/Activos_Millones!B4</f>
        <v>0.52963648361286042</v>
      </c>
    </row>
    <row r="5" spans="1:2">
      <c r="A5" s="2" t="s">
        <v>3</v>
      </c>
      <c r="B5">
        <f>Ingresos_Millones!B5/Activos_Millones!B5</f>
        <v>0.56943184578709505</v>
      </c>
    </row>
    <row r="6" spans="1:2">
      <c r="A6" s="2" t="s">
        <v>4</v>
      </c>
      <c r="B6">
        <f>Ingresos_Millones!B6/Activos_Millones!B6</f>
        <v>0.54673358450694443</v>
      </c>
    </row>
    <row r="7" spans="1:2">
      <c r="A7" s="2" t="s">
        <v>5</v>
      </c>
      <c r="B7">
        <f>Ingresos_Millones!B7/Activos_Millones!B7</f>
        <v>0.52370010048552917</v>
      </c>
    </row>
    <row r="8" spans="1:2">
      <c r="A8" s="2" t="s">
        <v>277</v>
      </c>
      <c r="B8">
        <f>Ingresos_Millones!B8/Activos_Millones!B8</f>
        <v>0.46645612020289023</v>
      </c>
    </row>
    <row r="9" spans="1:2">
      <c r="A9" s="2" t="s">
        <v>7</v>
      </c>
      <c r="B9">
        <f>Ingresos_Millones!B9/Activos_Millones!B9</f>
        <v>0.45571360141655215</v>
      </c>
    </row>
    <row r="10" spans="1:2">
      <c r="A10" s="2" t="s">
        <v>8</v>
      </c>
      <c r="B10">
        <f>Ingresos_Millones!B10/Activos_Millones!B10</f>
        <v>0.42540357938510132</v>
      </c>
    </row>
    <row r="11" spans="1:2">
      <c r="A11" s="2" t="s">
        <v>9</v>
      </c>
      <c r="B11">
        <f>Ingresos_Millones!B11/Activos_Millones!B11</f>
        <v>0.50396785558001966</v>
      </c>
    </row>
    <row r="12" spans="1:2">
      <c r="A12" s="2" t="s">
        <v>10</v>
      </c>
      <c r="B12">
        <f>Ingresos_Millones!B12/Activos_Millones!B12</f>
        <v>0.56929175997267234</v>
      </c>
    </row>
    <row r="13" spans="1:2">
      <c r="A13" s="2" t="s">
        <v>11</v>
      </c>
      <c r="B13">
        <v>0.70078151656457666</v>
      </c>
    </row>
    <row r="14" spans="1:2">
      <c r="A14" s="2" t="s">
        <v>12</v>
      </c>
      <c r="B14">
        <v>1.1674233006260266</v>
      </c>
    </row>
    <row r="15" spans="1:2">
      <c r="A15" s="2" t="s">
        <v>13</v>
      </c>
      <c r="B15">
        <v>1.1974173086862752</v>
      </c>
    </row>
    <row r="16" spans="1:2">
      <c r="A16" s="2" t="s">
        <v>14</v>
      </c>
      <c r="B16">
        <v>1.2509852580255485</v>
      </c>
    </row>
    <row r="17" spans="1:2">
      <c r="A17" s="2" t="s">
        <v>15</v>
      </c>
      <c r="B17">
        <v>1.2201810682973468</v>
      </c>
    </row>
    <row r="18" spans="1:2">
      <c r="A18" s="2" t="s">
        <v>16</v>
      </c>
      <c r="B18">
        <v>1.1753658479047786</v>
      </c>
    </row>
    <row r="19" spans="1:2">
      <c r="A19" s="2" t="s">
        <v>17</v>
      </c>
      <c r="B19">
        <v>1.1335868533023572</v>
      </c>
    </row>
    <row r="20" spans="1:2">
      <c r="A20" s="2" t="s">
        <v>18</v>
      </c>
      <c r="B20">
        <v>1.041949830990927</v>
      </c>
    </row>
    <row r="21" spans="1:2">
      <c r="A21" s="2" t="s">
        <v>19</v>
      </c>
      <c r="B21">
        <v>0.88607681048877518</v>
      </c>
    </row>
    <row r="22" spans="1:2">
      <c r="A22" s="2" t="s">
        <v>20</v>
      </c>
      <c r="B22">
        <v>1.1082574660744522</v>
      </c>
    </row>
    <row r="23" spans="1:2">
      <c r="A23" s="2" t="s">
        <v>21</v>
      </c>
      <c r="B23">
        <v>1.0242390246072184</v>
      </c>
    </row>
    <row r="24" spans="1:2">
      <c r="A24" s="2" t="s">
        <v>22</v>
      </c>
      <c r="B24">
        <v>3.0245619524405507</v>
      </c>
    </row>
    <row r="25" spans="1:2">
      <c r="A25" s="2" t="s">
        <v>23</v>
      </c>
      <c r="B25">
        <v>1.018695606981205</v>
      </c>
    </row>
    <row r="26" spans="1:2">
      <c r="A26" s="2" t="s">
        <v>24</v>
      </c>
      <c r="B26">
        <v>0.94765168495052576</v>
      </c>
    </row>
    <row r="27" spans="1:2">
      <c r="A27" s="2" t="s">
        <v>25</v>
      </c>
      <c r="B27">
        <v>0.88965324714822003</v>
      </c>
    </row>
    <row r="28" spans="1:2">
      <c r="A28" s="2" t="s">
        <v>26</v>
      </c>
      <c r="B28">
        <v>0.83987689866647663</v>
      </c>
    </row>
    <row r="29" spans="1:2">
      <c r="A29" s="2" t="s">
        <v>27</v>
      </c>
      <c r="B29">
        <v>0.90371491915860058</v>
      </c>
    </row>
    <row r="30" spans="1:2">
      <c r="A30" s="2" t="s">
        <v>28</v>
      </c>
      <c r="B30">
        <v>0.92412040619417457</v>
      </c>
    </row>
    <row r="31" spans="1:2">
      <c r="A31" s="2" t="s">
        <v>29</v>
      </c>
      <c r="B31">
        <v>0.90635707948357103</v>
      </c>
    </row>
    <row r="32" spans="1:2">
      <c r="A32" s="2" t="s">
        <v>30</v>
      </c>
      <c r="B32">
        <v>0.76105316829709146</v>
      </c>
    </row>
    <row r="33" spans="1:2">
      <c r="A33" s="2" t="s">
        <v>31</v>
      </c>
      <c r="B33">
        <v>0.80205108770049804</v>
      </c>
    </row>
    <row r="34" spans="1:2">
      <c r="A34" s="2" t="s">
        <v>32</v>
      </c>
      <c r="B34">
        <v>0.84732850413790251</v>
      </c>
    </row>
    <row r="35" spans="1:2">
      <c r="A35" s="2" t="s">
        <v>33</v>
      </c>
      <c r="B35">
        <v>3.1091575421004114</v>
      </c>
    </row>
    <row r="36" spans="1:2">
      <c r="A36" s="2" t="s">
        <v>34</v>
      </c>
      <c r="B36">
        <v>0.70453519737187364</v>
      </c>
    </row>
    <row r="37" spans="1:2">
      <c r="A37" s="2" t="s">
        <v>35</v>
      </c>
      <c r="B37">
        <v>0.72721827883539747</v>
      </c>
    </row>
    <row r="38" spans="1:2">
      <c r="A38" s="2" t="s">
        <v>36</v>
      </c>
      <c r="B38">
        <v>0.69092731396893448</v>
      </c>
    </row>
    <row r="39" spans="1:2">
      <c r="A39" s="2" t="s">
        <v>37</v>
      </c>
      <c r="B39">
        <v>0.66492386351005894</v>
      </c>
    </row>
    <row r="40" spans="1:2">
      <c r="A40" s="2" t="s">
        <v>38</v>
      </c>
      <c r="B40">
        <v>0.63794646797029642</v>
      </c>
    </row>
    <row r="41" spans="1:2">
      <c r="A41" s="2" t="s">
        <v>39</v>
      </c>
      <c r="B41">
        <v>0.62500194901379902</v>
      </c>
    </row>
    <row r="42" spans="1:2">
      <c r="A42" s="2" t="s">
        <v>40</v>
      </c>
      <c r="B42">
        <v>0.60300846687321352</v>
      </c>
    </row>
    <row r="43" spans="1:2">
      <c r="A43" s="2" t="s">
        <v>41</v>
      </c>
      <c r="B43">
        <v>0.47572971739236175</v>
      </c>
    </row>
    <row r="44" spans="1:2">
      <c r="A44" s="2" t="s">
        <v>42</v>
      </c>
      <c r="B44">
        <v>0.53043748905791044</v>
      </c>
    </row>
    <row r="45" spans="1:2">
      <c r="A45" s="2" t="s">
        <v>43</v>
      </c>
      <c r="B45">
        <v>0.61769004705257069</v>
      </c>
    </row>
    <row r="46" spans="1:2">
      <c r="A46" s="2" t="s">
        <v>44</v>
      </c>
      <c r="B46">
        <v>0.88892675390766995</v>
      </c>
    </row>
    <row r="47" spans="1:2">
      <c r="A47" s="2" t="s">
        <v>45</v>
      </c>
      <c r="B47">
        <v>1.0189664172611796</v>
      </c>
    </row>
    <row r="48" spans="1:2">
      <c r="A48" s="2" t="s">
        <v>46</v>
      </c>
      <c r="B48">
        <v>0.93437094214399075</v>
      </c>
    </row>
    <row r="49" spans="1:2">
      <c r="A49" s="2" t="s">
        <v>47</v>
      </c>
      <c r="B49">
        <v>0.87759811343055094</v>
      </c>
    </row>
    <row r="50" spans="1:2">
      <c r="A50" s="2" t="s">
        <v>48</v>
      </c>
      <c r="B50">
        <v>0.78324079786140244</v>
      </c>
    </row>
    <row r="51" spans="1:2">
      <c r="A51" s="2" t="s">
        <v>49</v>
      </c>
      <c r="B51">
        <v>0.75050746537958413</v>
      </c>
    </row>
    <row r="52" spans="1:2">
      <c r="A52" s="2" t="s">
        <v>50</v>
      </c>
      <c r="B52">
        <v>0.64682698525110083</v>
      </c>
    </row>
    <row r="53" spans="1:2">
      <c r="A53" s="2" t="s">
        <v>51</v>
      </c>
      <c r="B53">
        <v>0.60181900305652158</v>
      </c>
    </row>
    <row r="54" spans="1:2">
      <c r="A54" s="2" t="s">
        <v>52</v>
      </c>
      <c r="B54">
        <v>0.52078284309973899</v>
      </c>
    </row>
    <row r="55" spans="1:2">
      <c r="A55" s="2" t="s">
        <v>53</v>
      </c>
      <c r="B55">
        <v>0.5189810312277805</v>
      </c>
    </row>
    <row r="56" spans="1:2">
      <c r="A56" s="2" t="s">
        <v>54</v>
      </c>
      <c r="B56">
        <v>0.59360998647916774</v>
      </c>
    </row>
    <row r="57" spans="1:2">
      <c r="A57" s="2" t="s">
        <v>55</v>
      </c>
      <c r="B57">
        <v>0.56980460022708124</v>
      </c>
    </row>
    <row r="58" spans="1:2">
      <c r="A58" s="2" t="s">
        <v>56</v>
      </c>
      <c r="B58">
        <v>1.0433238942632495</v>
      </c>
    </row>
    <row r="59" spans="1:2">
      <c r="A59" s="2" t="s">
        <v>57</v>
      </c>
      <c r="B59">
        <v>0.89715808934176022</v>
      </c>
    </row>
    <row r="60" spans="1:2">
      <c r="A60" s="2" t="s">
        <v>58</v>
      </c>
      <c r="B60">
        <v>0.85890334363911447</v>
      </c>
    </row>
    <row r="61" spans="1:2">
      <c r="A61" s="2" t="s">
        <v>59</v>
      </c>
      <c r="B61">
        <v>0.7483954671948253</v>
      </c>
    </row>
    <row r="62" spans="1:2">
      <c r="A62" s="2" t="s">
        <v>60</v>
      </c>
      <c r="B62">
        <v>0.97482762079225838</v>
      </c>
    </row>
    <row r="63" spans="1:2">
      <c r="A63" s="2" t="s">
        <v>61</v>
      </c>
      <c r="B63">
        <v>0.98302115199569584</v>
      </c>
    </row>
    <row r="64" spans="1:2">
      <c r="A64" s="2" t="s">
        <v>62</v>
      </c>
      <c r="B64">
        <v>0.87760214875889142</v>
      </c>
    </row>
    <row r="65" spans="1:2">
      <c r="A65" s="2" t="s">
        <v>63</v>
      </c>
      <c r="B65">
        <v>0.76836427053794631</v>
      </c>
    </row>
    <row r="66" spans="1:2">
      <c r="A66" s="2" t="s">
        <v>64</v>
      </c>
      <c r="B66">
        <v>0.79883236642502709</v>
      </c>
    </row>
    <row r="67" spans="1:2">
      <c r="A67" s="2" t="s">
        <v>65</v>
      </c>
      <c r="B67">
        <v>0.85356610819529055</v>
      </c>
    </row>
    <row r="68" spans="1:2">
      <c r="A68" s="2" t="s">
        <v>66</v>
      </c>
      <c r="B68">
        <v>1.0634161654325001</v>
      </c>
    </row>
    <row r="69" spans="1:2">
      <c r="A69" s="2" t="s">
        <v>67</v>
      </c>
      <c r="B69">
        <v>0.89993548849544835</v>
      </c>
    </row>
    <row r="70" spans="1:2">
      <c r="A70" s="2" t="s">
        <v>68</v>
      </c>
      <c r="B70">
        <v>0.85957961923627157</v>
      </c>
    </row>
    <row r="71" spans="1:2">
      <c r="A71" s="2" t="s">
        <v>69</v>
      </c>
      <c r="B71">
        <v>0.88680117049129836</v>
      </c>
    </row>
    <row r="72" spans="1:2">
      <c r="A72" s="2" t="s">
        <v>70</v>
      </c>
      <c r="B72">
        <v>0.78232216724795201</v>
      </c>
    </row>
    <row r="73" spans="1:2">
      <c r="A73" s="2" t="s">
        <v>71</v>
      </c>
      <c r="B73">
        <v>0.72585232519484355</v>
      </c>
    </row>
    <row r="74" spans="1:2">
      <c r="A74" s="2" t="s">
        <v>72</v>
      </c>
      <c r="B74">
        <v>0.72355598636041052</v>
      </c>
    </row>
    <row r="75" spans="1:2">
      <c r="A75" s="2" t="s">
        <v>73</v>
      </c>
      <c r="B75">
        <v>0.62559007481381756</v>
      </c>
    </row>
    <row r="76" spans="1:2">
      <c r="A76" s="2" t="s">
        <v>74</v>
      </c>
      <c r="B76">
        <v>0.5053262316910786</v>
      </c>
    </row>
    <row r="77" spans="1:2">
      <c r="A77" s="2" t="s">
        <v>75</v>
      </c>
      <c r="B77">
        <v>0.5334574220567706</v>
      </c>
    </row>
    <row r="78" spans="1:2">
      <c r="A78" s="2" t="s">
        <v>76</v>
      </c>
      <c r="B78">
        <v>0.5695062224006423</v>
      </c>
    </row>
    <row r="79" spans="1:2">
      <c r="A79" s="2" t="s">
        <v>77</v>
      </c>
      <c r="B79">
        <v>0.62390482193507724</v>
      </c>
    </row>
    <row r="80" spans="1:2">
      <c r="A80" s="2" t="s">
        <v>78</v>
      </c>
      <c r="B80">
        <v>1.385900396813597</v>
      </c>
    </row>
    <row r="81" spans="1:2">
      <c r="A81" s="2" t="s">
        <v>79</v>
      </c>
      <c r="B81">
        <v>1.2682206985852729</v>
      </c>
    </row>
    <row r="82" spans="1:2">
      <c r="A82" s="2" t="s">
        <v>80</v>
      </c>
      <c r="B82">
        <v>1.1977085112820607</v>
      </c>
    </row>
    <row r="83" spans="1:2">
      <c r="A83" s="2" t="s">
        <v>81</v>
      </c>
      <c r="B83">
        <v>1.1165235925664359</v>
      </c>
    </row>
    <row r="84" spans="1:2">
      <c r="A84" s="2" t="s">
        <v>82</v>
      </c>
      <c r="B84">
        <v>1.0779339737261751</v>
      </c>
    </row>
    <row r="85" spans="1:2">
      <c r="A85" s="2" t="s">
        <v>83</v>
      </c>
      <c r="B85">
        <v>1.060802047560981</v>
      </c>
    </row>
    <row r="86" spans="1:2">
      <c r="A86" s="2" t="s">
        <v>84</v>
      </c>
      <c r="B86">
        <v>1.0424267242189802</v>
      </c>
    </row>
    <row r="87" spans="1:2">
      <c r="A87" s="2" t="s">
        <v>85</v>
      </c>
      <c r="B87">
        <v>0.90120135984015415</v>
      </c>
    </row>
    <row r="88" spans="1:2">
      <c r="A88" s="2" t="s">
        <v>86</v>
      </c>
      <c r="B88">
        <v>1.0853066245697871</v>
      </c>
    </row>
    <row r="89" spans="1:2">
      <c r="A89" s="2" t="s">
        <v>87</v>
      </c>
      <c r="B89">
        <v>1.1443623753319363</v>
      </c>
    </row>
    <row r="90" spans="1:2">
      <c r="A90" s="2" t="s">
        <v>88</v>
      </c>
      <c r="B90">
        <v>6.2701771750477656E-2</v>
      </c>
    </row>
    <row r="91" spans="1:2">
      <c r="A91" s="2" t="s">
        <v>89</v>
      </c>
      <c r="B91">
        <v>1.5396585576664592</v>
      </c>
    </row>
    <row r="92" spans="1:2">
      <c r="A92" s="2" t="s">
        <v>90</v>
      </c>
      <c r="B92">
        <v>1.577638515570472</v>
      </c>
    </row>
    <row r="93" spans="1:2">
      <c r="A93" s="2" t="s">
        <v>91</v>
      </c>
      <c r="B93">
        <v>1.6910747957259586</v>
      </c>
    </row>
    <row r="94" spans="1:2">
      <c r="A94" s="2" t="s">
        <v>92</v>
      </c>
      <c r="B94">
        <v>1.6139989540491855</v>
      </c>
    </row>
    <row r="95" spans="1:2">
      <c r="A95" s="2" t="s">
        <v>93</v>
      </c>
      <c r="B95">
        <v>1.522041630114044</v>
      </c>
    </row>
    <row r="96" spans="1:2">
      <c r="A96" s="2" t="s">
        <v>94</v>
      </c>
      <c r="B96">
        <v>1.4033550205756138</v>
      </c>
    </row>
    <row r="97" spans="1:2">
      <c r="A97" s="2" t="s">
        <v>95</v>
      </c>
      <c r="B97">
        <v>1.3780843950809489</v>
      </c>
    </row>
    <row r="98" spans="1:2">
      <c r="A98" s="2" t="s">
        <v>96</v>
      </c>
      <c r="B98">
        <v>1.2091463772102693</v>
      </c>
    </row>
    <row r="99" spans="1:2">
      <c r="A99" s="2" t="s">
        <v>97</v>
      </c>
      <c r="B99">
        <v>1.4857451413486453</v>
      </c>
    </row>
    <row r="100" spans="1:2">
      <c r="A100" s="2" t="s">
        <v>98</v>
      </c>
      <c r="B100">
        <v>1.481394982860349</v>
      </c>
    </row>
    <row r="101" spans="1:2">
      <c r="A101" s="2" t="s">
        <v>99</v>
      </c>
      <c r="B101">
        <v>3.5202380267923878</v>
      </c>
    </row>
    <row r="102" spans="1:2">
      <c r="A102" s="2" t="s">
        <v>100</v>
      </c>
      <c r="B102">
        <v>0.85124778675311163</v>
      </c>
    </row>
    <row r="103" spans="1:2">
      <c r="A103" s="2" t="s">
        <v>101</v>
      </c>
      <c r="B103">
        <v>0.73277910487271447</v>
      </c>
    </row>
    <row r="104" spans="1:2">
      <c r="A104" s="2" t="s">
        <v>102</v>
      </c>
      <c r="B104">
        <v>0.7278004527490648</v>
      </c>
    </row>
    <row r="105" spans="1:2">
      <c r="A105" s="2" t="s">
        <v>103</v>
      </c>
      <c r="B105">
        <v>0.65677731758575353</v>
      </c>
    </row>
    <row r="106" spans="1:2">
      <c r="A106" s="2" t="s">
        <v>104</v>
      </c>
      <c r="B106">
        <v>0.65417495492738498</v>
      </c>
    </row>
    <row r="107" spans="1:2">
      <c r="A107" s="2" t="s">
        <v>105</v>
      </c>
      <c r="B107">
        <v>0.60957658641409396</v>
      </c>
    </row>
    <row r="108" spans="1:2">
      <c r="A108" s="2" t="s">
        <v>106</v>
      </c>
      <c r="B108">
        <v>0.57841528958895516</v>
      </c>
    </row>
    <row r="109" spans="1:2">
      <c r="A109" s="2" t="s">
        <v>107</v>
      </c>
      <c r="B109">
        <v>0.49860876661900377</v>
      </c>
    </row>
    <row r="110" spans="1:2">
      <c r="A110" s="2" t="s">
        <v>108</v>
      </c>
      <c r="B110">
        <v>0.55615797740510176</v>
      </c>
    </row>
    <row r="111" spans="1:2">
      <c r="A111" s="2" t="s">
        <v>109</v>
      </c>
      <c r="B111">
        <v>0.59049263346540537</v>
      </c>
    </row>
    <row r="112" spans="1:2">
      <c r="A112" s="2" t="s">
        <v>110</v>
      </c>
      <c r="B112">
        <v>4.5284695657052981E-2</v>
      </c>
    </row>
    <row r="113" spans="1:2">
      <c r="A113" s="2" t="s">
        <v>111</v>
      </c>
      <c r="B113">
        <v>1.5315123599223315</v>
      </c>
    </row>
    <row r="114" spans="1:2">
      <c r="A114" s="2" t="s">
        <v>112</v>
      </c>
      <c r="B114">
        <v>1.5254047797291133</v>
      </c>
    </row>
    <row r="115" spans="1:2">
      <c r="A115" s="2" t="s">
        <v>113</v>
      </c>
      <c r="B115">
        <v>1.4124742091649307</v>
      </c>
    </row>
    <row r="116" spans="1:2">
      <c r="A116" s="2" t="s">
        <v>114</v>
      </c>
      <c r="B116">
        <v>1.2633658674687427</v>
      </c>
    </row>
    <row r="117" spans="1:2">
      <c r="A117" s="2" t="s">
        <v>115</v>
      </c>
      <c r="B117">
        <v>1.2620507167304131</v>
      </c>
    </row>
    <row r="118" spans="1:2">
      <c r="A118" s="2" t="s">
        <v>116</v>
      </c>
      <c r="B118">
        <v>1.3282469438417699</v>
      </c>
    </row>
    <row r="119" spans="1:2">
      <c r="A119" s="2" t="s">
        <v>117</v>
      </c>
      <c r="B119">
        <v>1.1973354929303324</v>
      </c>
    </row>
    <row r="120" spans="1:2">
      <c r="A120" s="2" t="s">
        <v>118</v>
      </c>
      <c r="B120">
        <v>1.020722551382365</v>
      </c>
    </row>
    <row r="121" spans="1:2">
      <c r="A121" s="2" t="s">
        <v>119</v>
      </c>
      <c r="B121">
        <v>0.99527438955190672</v>
      </c>
    </row>
    <row r="122" spans="1:2">
      <c r="A122" s="2" t="s">
        <v>120</v>
      </c>
      <c r="B122">
        <v>1.0195333730808378</v>
      </c>
    </row>
    <row r="123" spans="1:2">
      <c r="A123" s="2" t="s">
        <v>121</v>
      </c>
      <c r="B123">
        <v>0.15391428608698049</v>
      </c>
    </row>
    <row r="124" spans="1:2">
      <c r="A124" s="2" t="s">
        <v>122</v>
      </c>
      <c r="B124">
        <v>1.0555716486575002</v>
      </c>
    </row>
    <row r="125" spans="1:2">
      <c r="A125" s="2" t="s">
        <v>123</v>
      </c>
      <c r="B125">
        <v>1.0298812773504236</v>
      </c>
    </row>
    <row r="126" spans="1:2">
      <c r="A126" s="2" t="s">
        <v>124</v>
      </c>
      <c r="B126">
        <v>0.93408230232846523</v>
      </c>
    </row>
    <row r="127" spans="1:2">
      <c r="A127" s="2" t="s">
        <v>125</v>
      </c>
      <c r="B127">
        <v>0.85892102524384639</v>
      </c>
    </row>
    <row r="128" spans="1:2">
      <c r="A128" s="2" t="s">
        <v>126</v>
      </c>
      <c r="B128">
        <v>0.80126400483455817</v>
      </c>
    </row>
    <row r="129" spans="1:2">
      <c r="A129" s="2" t="s">
        <v>127</v>
      </c>
      <c r="B129">
        <v>0.72848349236418486</v>
      </c>
    </row>
    <row r="130" spans="1:2">
      <c r="A130" s="2" t="s">
        <v>128</v>
      </c>
      <c r="B130">
        <v>0.64840845174356154</v>
      </c>
    </row>
    <row r="131" spans="1:2">
      <c r="A131" s="2" t="s">
        <v>129</v>
      </c>
      <c r="B131">
        <v>0.57683658063207233</v>
      </c>
    </row>
    <row r="132" spans="1:2">
      <c r="A132" s="2" t="s">
        <v>130</v>
      </c>
      <c r="B132">
        <v>0.68063311287647454</v>
      </c>
    </row>
    <row r="133" spans="1:2">
      <c r="A133" s="2" t="s">
        <v>131</v>
      </c>
      <c r="B133">
        <v>0.6568001871688357</v>
      </c>
    </row>
    <row r="134" spans="1:2">
      <c r="A134" s="2" t="s">
        <v>132</v>
      </c>
      <c r="B134">
        <v>1.8715035403733484</v>
      </c>
    </row>
    <row r="135" spans="1:2">
      <c r="A135" s="2" t="s">
        <v>133</v>
      </c>
      <c r="B135">
        <v>0.54189682050250521</v>
      </c>
    </row>
    <row r="136" spans="1:2">
      <c r="A136" s="2" t="s">
        <v>134</v>
      </c>
      <c r="B136">
        <v>0.5206497688270787</v>
      </c>
    </row>
    <row r="137" spans="1:2">
      <c r="A137" s="2" t="s">
        <v>135</v>
      </c>
      <c r="B137">
        <v>0.56587566394399769</v>
      </c>
    </row>
    <row r="138" spans="1:2">
      <c r="A138" s="2" t="s">
        <v>136</v>
      </c>
      <c r="B138">
        <v>0.4550820874296167</v>
      </c>
    </row>
    <row r="139" spans="1:2">
      <c r="A139" s="2" t="s">
        <v>137</v>
      </c>
      <c r="B139">
        <v>0.44266287993964115</v>
      </c>
    </row>
    <row r="140" spans="1:2">
      <c r="A140" s="2" t="s">
        <v>138</v>
      </c>
      <c r="B140">
        <v>0.41225263981846849</v>
      </c>
    </row>
    <row r="141" spans="1:2">
      <c r="A141" s="2" t="s">
        <v>139</v>
      </c>
      <c r="B141">
        <v>0.35636108975552688</v>
      </c>
    </row>
    <row r="142" spans="1:2">
      <c r="A142" s="2" t="s">
        <v>140</v>
      </c>
      <c r="B142">
        <v>0.35626004816825907</v>
      </c>
    </row>
    <row r="143" spans="1:2">
      <c r="A143" s="2" t="s">
        <v>141</v>
      </c>
      <c r="B143">
        <v>0.35179307100627305</v>
      </c>
    </row>
    <row r="144" spans="1:2">
      <c r="A144" s="2" t="s">
        <v>142</v>
      </c>
      <c r="B144">
        <v>0.3531930336522866</v>
      </c>
    </row>
    <row r="145" spans="1:2">
      <c r="A145" s="2" t="s">
        <v>143</v>
      </c>
      <c r="B145" s="4">
        <f>Ingresos_Millones!B145/Activos_Millones!B145</f>
        <v>0.69245760487322594</v>
      </c>
    </row>
    <row r="146" spans="1:2">
      <c r="A146" s="2" t="s">
        <v>144</v>
      </c>
      <c r="B146" s="4">
        <f>Ingresos_Millones!B146/Activos_Millones!B146</f>
        <v>0.63394155454690937</v>
      </c>
    </row>
    <row r="147" spans="1:2">
      <c r="A147" s="2" t="s">
        <v>145</v>
      </c>
      <c r="B147" s="4">
        <f>Ingresos_Millones!B147/Activos_Millones!B147</f>
        <v>0.63792851241598492</v>
      </c>
    </row>
    <row r="148" spans="1:2">
      <c r="A148" s="2" t="s">
        <v>146</v>
      </c>
      <c r="B148" s="4">
        <f>Ingresos_Millones!B148/Activos_Millones!B148</f>
        <v>0.58894860489471967</v>
      </c>
    </row>
    <row r="149" spans="1:2">
      <c r="A149" s="2" t="s">
        <v>147</v>
      </c>
      <c r="B149" s="4">
        <f>Ingresos_Millones!B149/Activos_Millones!B149</f>
        <v>0.67204812403053527</v>
      </c>
    </row>
    <row r="150" spans="1:2">
      <c r="A150" s="2" t="s">
        <v>148</v>
      </c>
      <c r="B150" s="4">
        <f>Ingresos_Millones!B150/Activos_Millones!B150</f>
        <v>0.69075043493597321</v>
      </c>
    </row>
    <row r="151" spans="1:2">
      <c r="A151" s="2" t="s">
        <v>149</v>
      </c>
      <c r="B151" s="4">
        <f>Ingresos_Millones!B151/Activos_Millones!B151</f>
        <v>0.62594567948040913</v>
      </c>
    </row>
    <row r="152" spans="1:2">
      <c r="A152" s="2" t="s">
        <v>150</v>
      </c>
      <c r="B152" s="4">
        <f>Ingresos_Millones!B152/Activos_Millones!B152</f>
        <v>0.622455149401692</v>
      </c>
    </row>
    <row r="153" spans="1:2">
      <c r="A153" s="2" t="s">
        <v>151</v>
      </c>
      <c r="B153" s="4">
        <f>Ingresos_Millones!B153/Activos_Millones!B153</f>
        <v>0.76346248789177718</v>
      </c>
    </row>
    <row r="154" spans="1:2">
      <c r="A154" s="2" t="s">
        <v>152</v>
      </c>
      <c r="B154" s="4">
        <f>Ingresos_Millones!B154/Activos_Millones!B154</f>
        <v>0.70350183187942672</v>
      </c>
    </row>
    <row r="155" spans="1:2">
      <c r="A155" s="2" t="s">
        <v>153</v>
      </c>
      <c r="B155" s="4">
        <f>Ingresos_Millones!B155/Activos_Millones!B155</f>
        <v>0.88041998181642966</v>
      </c>
    </row>
    <row r="156" spans="1:2">
      <c r="A156" s="2" t="s">
        <v>154</v>
      </c>
      <c r="B156" s="4">
        <f>Ingresos_Millones!B156/Activos_Millones!B156</f>
        <v>0.28767618663168165</v>
      </c>
    </row>
    <row r="157" spans="1:2">
      <c r="A157" s="2" t="s">
        <v>155</v>
      </c>
      <c r="B157" s="4">
        <f>Ingresos_Millones!B157/Activos_Millones!B157</f>
        <v>0.37090262881555208</v>
      </c>
    </row>
    <row r="158" spans="1:2">
      <c r="A158" s="2" t="s">
        <v>156</v>
      </c>
      <c r="B158" s="4">
        <f>Ingresos_Millones!B158/Activos_Millones!B158</f>
        <v>0.83307998162958807</v>
      </c>
    </row>
    <row r="159" spans="1:2">
      <c r="A159" s="2" t="s">
        <v>157</v>
      </c>
      <c r="B159" s="4">
        <f>Ingresos_Millones!B159/Activos_Millones!B159</f>
        <v>0.54854032994852908</v>
      </c>
    </row>
    <row r="160" spans="1:2">
      <c r="A160" s="2" t="s">
        <v>158</v>
      </c>
      <c r="B160" s="4">
        <f>Ingresos_Millones!B160/Activos_Millones!B160</f>
        <v>0.50149424778744611</v>
      </c>
    </row>
    <row r="161" spans="1:2">
      <c r="A161" s="2" t="s">
        <v>159</v>
      </c>
      <c r="B161" s="4">
        <f>Ingresos_Millones!B161/Activos_Millones!B161</f>
        <v>0.30886465435431826</v>
      </c>
    </row>
    <row r="162" spans="1:2">
      <c r="A162" s="2" t="s">
        <v>160</v>
      </c>
      <c r="B162" s="4">
        <f>Ingresos_Millones!B162/Activos_Millones!B162</f>
        <v>0.72162972427706795</v>
      </c>
    </row>
    <row r="163" spans="1:2">
      <c r="A163" s="2" t="s">
        <v>161</v>
      </c>
      <c r="B163" s="4">
        <f>Ingresos_Millones!B163/Activos_Millones!B163</f>
        <v>0.71637179748753976</v>
      </c>
    </row>
    <row r="164" spans="1:2">
      <c r="A164" s="2" t="s">
        <v>162</v>
      </c>
      <c r="B164">
        <v>0.60474035437600671</v>
      </c>
    </row>
    <row r="165" spans="1:2">
      <c r="A165" s="2" t="s">
        <v>163</v>
      </c>
      <c r="B165">
        <v>0.86628253206933736</v>
      </c>
    </row>
    <row r="166" spans="1:2">
      <c r="A166" s="2" t="s">
        <v>164</v>
      </c>
      <c r="B166">
        <v>0.98936092691102528</v>
      </c>
    </row>
    <row r="167" spans="1:2">
      <c r="A167" s="2" t="s">
        <v>165</v>
      </c>
      <c r="B167">
        <v>2.031856126287463</v>
      </c>
    </row>
    <row r="168" spans="1:2">
      <c r="A168" s="2" t="s">
        <v>166</v>
      </c>
      <c r="B168">
        <v>0.60663885979579713</v>
      </c>
    </row>
    <row r="169" spans="1:2">
      <c r="A169" s="2" t="s">
        <v>167</v>
      </c>
      <c r="B169">
        <v>0.58527410901702082</v>
      </c>
    </row>
    <row r="170" spans="1:2">
      <c r="A170" s="2" t="s">
        <v>168</v>
      </c>
      <c r="B170">
        <v>0.63201762715406318</v>
      </c>
    </row>
    <row r="171" spans="1:2">
      <c r="A171" s="2" t="s">
        <v>169</v>
      </c>
      <c r="B171">
        <v>0.57031555639439735</v>
      </c>
    </row>
    <row r="172" spans="1:2">
      <c r="A172" s="2" t="s">
        <v>170</v>
      </c>
      <c r="B172">
        <v>0.55601741756141176</v>
      </c>
    </row>
    <row r="173" spans="1:2">
      <c r="A173" s="2" t="s">
        <v>171</v>
      </c>
      <c r="B173">
        <v>0.53151847061607038</v>
      </c>
    </row>
    <row r="174" spans="1:2">
      <c r="A174" s="2" t="s">
        <v>172</v>
      </c>
      <c r="B174">
        <v>0.5161638806383736</v>
      </c>
    </row>
    <row r="175" spans="1:2">
      <c r="A175" s="2" t="s">
        <v>173</v>
      </c>
      <c r="B175">
        <v>0.41745285461219944</v>
      </c>
    </row>
    <row r="176" spans="1:2">
      <c r="A176" s="2" t="s">
        <v>174</v>
      </c>
      <c r="B176">
        <v>0.4921893873900135</v>
      </c>
    </row>
    <row r="177" spans="1:2">
      <c r="A177" s="2" t="s">
        <v>175</v>
      </c>
      <c r="B177">
        <v>0.4873531330374104</v>
      </c>
    </row>
    <row r="178" spans="1:2">
      <c r="A178" s="2" t="s">
        <v>176</v>
      </c>
      <c r="B178">
        <v>0.55720983127161328</v>
      </c>
    </row>
    <row r="179" spans="1:2">
      <c r="A179" s="2" t="s">
        <v>177</v>
      </c>
      <c r="B179">
        <v>0.86105932878587466</v>
      </c>
    </row>
    <row r="180" spans="1:2">
      <c r="A180" s="2" t="s">
        <v>178</v>
      </c>
      <c r="B180">
        <v>0.77941535144635443</v>
      </c>
    </row>
    <row r="181" spans="1:2">
      <c r="A181" s="2" t="s">
        <v>179</v>
      </c>
      <c r="B181">
        <v>0.84249662838693851</v>
      </c>
    </row>
    <row r="182" spans="1:2">
      <c r="A182" s="2" t="s">
        <v>180</v>
      </c>
      <c r="B182">
        <v>0.83482150901915553</v>
      </c>
    </row>
    <row r="183" spans="1:2">
      <c r="A183" s="2" t="s">
        <v>181</v>
      </c>
      <c r="B183">
        <v>0.80294051356538398</v>
      </c>
    </row>
    <row r="184" spans="1:2">
      <c r="A184" s="2" t="s">
        <v>182</v>
      </c>
      <c r="B184">
        <v>0.83939834125611945</v>
      </c>
    </row>
    <row r="185" spans="1:2">
      <c r="A185" s="2" t="s">
        <v>183</v>
      </c>
      <c r="B185">
        <v>0.81476930868393693</v>
      </c>
    </row>
    <row r="186" spans="1:2">
      <c r="A186" s="2" t="s">
        <v>184</v>
      </c>
      <c r="B186">
        <v>0.59027501188441922</v>
      </c>
    </row>
    <row r="187" spans="1:2">
      <c r="A187" s="2" t="s">
        <v>185</v>
      </c>
      <c r="B187">
        <v>0.76130952172066857</v>
      </c>
    </row>
    <row r="188" spans="1:2">
      <c r="A188" s="2" t="s">
        <v>186</v>
      </c>
      <c r="B188">
        <v>0.77570256010999117</v>
      </c>
    </row>
    <row r="189" spans="1:2">
      <c r="A189" s="2" t="s">
        <v>187</v>
      </c>
      <c r="B189">
        <v>2.0091123778501632</v>
      </c>
    </row>
    <row r="190" spans="1:2">
      <c r="A190" s="2" t="s">
        <v>188</v>
      </c>
      <c r="B190">
        <v>1.3504554655870444</v>
      </c>
    </row>
    <row r="191" spans="1:2">
      <c r="A191" s="2" t="s">
        <v>189</v>
      </c>
      <c r="B191">
        <v>1.2364621371708806</v>
      </c>
    </row>
    <row r="192" spans="1:2">
      <c r="A192" s="2" t="s">
        <v>190</v>
      </c>
      <c r="B192">
        <v>1.1912069680630444</v>
      </c>
    </row>
    <row r="193" spans="1:2">
      <c r="A193" s="2" t="s">
        <v>191</v>
      </c>
      <c r="B193">
        <v>1.0589760416121485</v>
      </c>
    </row>
    <row r="194" spans="1:2">
      <c r="A194" s="2" t="s">
        <v>192</v>
      </c>
      <c r="B194">
        <v>1.0564993781303573</v>
      </c>
    </row>
    <row r="195" spans="1:2">
      <c r="A195" s="2" t="s">
        <v>193</v>
      </c>
      <c r="B195">
        <v>1.0226625045300299</v>
      </c>
    </row>
    <row r="196" spans="1:2">
      <c r="A196" s="2" t="s">
        <v>194</v>
      </c>
      <c r="B196">
        <v>0.84298444508601333</v>
      </c>
    </row>
    <row r="197" spans="1:2">
      <c r="A197" s="2" t="s">
        <v>195</v>
      </c>
      <c r="B197">
        <v>0.63436096107883444</v>
      </c>
    </row>
    <row r="198" spans="1:2">
      <c r="A198" s="2" t="s">
        <v>196</v>
      </c>
      <c r="B198">
        <v>0.68469514205621451</v>
      </c>
    </row>
    <row r="199" spans="1:2">
      <c r="A199" s="2" t="s">
        <v>197</v>
      </c>
      <c r="B199">
        <v>0.74296258480388244</v>
      </c>
    </row>
    <row r="200" spans="1:2">
      <c r="A200" s="2" t="s">
        <v>198</v>
      </c>
      <c r="B200">
        <v>1.1065478817299206</v>
      </c>
    </row>
    <row r="201" spans="1:2">
      <c r="A201" s="2" t="s">
        <v>199</v>
      </c>
      <c r="B201">
        <v>1.875963718176705</v>
      </c>
    </row>
    <row r="202" spans="1:2">
      <c r="A202" s="2" t="s">
        <v>200</v>
      </c>
      <c r="B202">
        <v>1.7160145568135838</v>
      </c>
    </row>
    <row r="203" spans="1:2">
      <c r="A203" s="2" t="s">
        <v>201</v>
      </c>
      <c r="B203">
        <v>1.7840660045679677</v>
      </c>
    </row>
    <row r="204" spans="1:2">
      <c r="A204" s="2" t="s">
        <v>202</v>
      </c>
      <c r="B204">
        <v>2.0090870030389603</v>
      </c>
    </row>
    <row r="205" spans="1:2">
      <c r="A205" s="2" t="s">
        <v>203</v>
      </c>
      <c r="B205">
        <v>1.6799584264717946</v>
      </c>
    </row>
    <row r="206" spans="1:2">
      <c r="A206" s="2" t="s">
        <v>204</v>
      </c>
      <c r="B206">
        <v>1.596330975731028</v>
      </c>
    </row>
    <row r="207" spans="1:2">
      <c r="A207" s="2" t="s">
        <v>205</v>
      </c>
      <c r="B207">
        <v>1.5603202082490903</v>
      </c>
    </row>
    <row r="208" spans="1:2">
      <c r="A208" s="2" t="s">
        <v>206</v>
      </c>
      <c r="B208">
        <v>1.3905351039698697</v>
      </c>
    </row>
    <row r="209" spans="1:2">
      <c r="A209" s="2" t="s">
        <v>207</v>
      </c>
      <c r="B209">
        <v>1.5216525398192757</v>
      </c>
    </row>
    <row r="210" spans="1:2">
      <c r="A210" s="2" t="s">
        <v>208</v>
      </c>
      <c r="B210">
        <v>1.653090938264433</v>
      </c>
    </row>
    <row r="211" spans="1:2">
      <c r="A211" s="2" t="s">
        <v>209</v>
      </c>
      <c r="B211">
        <v>1.0343153724268217</v>
      </c>
    </row>
    <row r="212" spans="1:2">
      <c r="A212" s="2" t="s">
        <v>210</v>
      </c>
      <c r="B212">
        <v>0.70387920380860447</v>
      </c>
    </row>
    <row r="213" spans="1:2">
      <c r="A213" s="2" t="s">
        <v>211</v>
      </c>
      <c r="B213">
        <v>0.63727701313146268</v>
      </c>
    </row>
    <row r="214" spans="1:2">
      <c r="A214" s="2" t="s">
        <v>212</v>
      </c>
      <c r="B214">
        <v>0.62229545197038239</v>
      </c>
    </row>
    <row r="215" spans="1:2">
      <c r="A215" s="2" t="s">
        <v>213</v>
      </c>
      <c r="B215">
        <v>0.56060534257377703</v>
      </c>
    </row>
    <row r="216" spans="1:2">
      <c r="A216" s="2" t="s">
        <v>214</v>
      </c>
      <c r="B216">
        <v>0.58205846500231051</v>
      </c>
    </row>
    <row r="217" spans="1:2">
      <c r="A217" s="2" t="s">
        <v>215</v>
      </c>
      <c r="B217">
        <v>0.58089613454718092</v>
      </c>
    </row>
    <row r="218" spans="1:2">
      <c r="A218" s="2" t="s">
        <v>216</v>
      </c>
      <c r="B218">
        <v>0.56473345109883577</v>
      </c>
    </row>
    <row r="219" spans="1:2">
      <c r="A219" s="2" t="s">
        <v>217</v>
      </c>
      <c r="B219">
        <v>0.45599366955953352</v>
      </c>
    </row>
    <row r="220" spans="1:2">
      <c r="A220" s="2" t="s">
        <v>218</v>
      </c>
      <c r="B220">
        <v>0.50103421890644007</v>
      </c>
    </row>
    <row r="221" spans="1:2">
      <c r="A221" s="2" t="s">
        <v>219</v>
      </c>
      <c r="B221">
        <v>0.49036916933683578</v>
      </c>
    </row>
    <row r="222" spans="1:2">
      <c r="A222" s="2" t="s">
        <v>220</v>
      </c>
      <c r="B222">
        <v>1.7868157980006478</v>
      </c>
    </row>
    <row r="223" spans="1:2">
      <c r="A223" s="2" t="s">
        <v>221</v>
      </c>
      <c r="B223">
        <v>1.8023847098018586</v>
      </c>
    </row>
    <row r="224" spans="1:2">
      <c r="A224" s="2" t="s">
        <v>222</v>
      </c>
      <c r="B224">
        <v>1.9363535297387438</v>
      </c>
    </row>
    <row r="225" spans="1:2">
      <c r="A225" s="2" t="s">
        <v>223</v>
      </c>
      <c r="B225">
        <v>2.0200121285627652</v>
      </c>
    </row>
    <row r="226" spans="1:2">
      <c r="A226" s="2" t="s">
        <v>224</v>
      </c>
      <c r="B226">
        <v>1.7188166040799757</v>
      </c>
    </row>
    <row r="227" spans="1:2">
      <c r="A227" s="2" t="s">
        <v>225</v>
      </c>
      <c r="B227">
        <v>1.6150403261543915</v>
      </c>
    </row>
    <row r="228" spans="1:2">
      <c r="A228" s="2" t="s">
        <v>226</v>
      </c>
      <c r="B228">
        <v>1.5735979957602622</v>
      </c>
    </row>
    <row r="229" spans="1:2">
      <c r="A229" s="2" t="s">
        <v>227</v>
      </c>
      <c r="B229">
        <v>1.5289259402869328</v>
      </c>
    </row>
    <row r="230" spans="1:2">
      <c r="A230" s="2" t="s">
        <v>228</v>
      </c>
      <c r="B230">
        <v>1.1413039678377905</v>
      </c>
    </row>
    <row r="231" spans="1:2">
      <c r="A231" s="2" t="s">
        <v>229</v>
      </c>
      <c r="B231">
        <v>1.2460290173966857</v>
      </c>
    </row>
    <row r="232" spans="1:2">
      <c r="A232" s="2" t="s">
        <v>230</v>
      </c>
      <c r="B232">
        <v>1.3616898772895749</v>
      </c>
    </row>
    <row r="233" spans="1:2">
      <c r="A233" s="2" t="s">
        <v>231</v>
      </c>
      <c r="B233" s="4">
        <f>Ingresos_Millones!B233/Activos_Millones!B233</f>
        <v>1.0298207582086394</v>
      </c>
    </row>
    <row r="234" spans="1:2">
      <c r="A234" s="2" t="s">
        <v>232</v>
      </c>
      <c r="B234" s="4">
        <f>Ingresos_Millones!B234/Activos_Millones!B234</f>
        <v>0.87263074064242097</v>
      </c>
    </row>
    <row r="235" spans="1:2">
      <c r="A235" s="2" t="s">
        <v>233</v>
      </c>
      <c r="B235" s="4">
        <f>Ingresos_Millones!B235/Activos_Millones!B235</f>
        <v>0.91648526679054954</v>
      </c>
    </row>
    <row r="236" spans="1:2">
      <c r="A236" s="2" t="s">
        <v>234</v>
      </c>
      <c r="B236" s="4">
        <f>Ingresos_Millones!B236/Activos_Millones!B236</f>
        <v>0.90957374370148436</v>
      </c>
    </row>
    <row r="237" spans="1:2">
      <c r="A237" s="2" t="s">
        <v>235</v>
      </c>
      <c r="B237">
        <f>Ingresos_Millones!B237/Activos_Millones!B237</f>
        <v>1.4902688512718385</v>
      </c>
    </row>
    <row r="238" spans="1:2">
      <c r="A238" s="2" t="s">
        <v>236</v>
      </c>
      <c r="B238">
        <f>Ingresos_Millones!B238/Activos_Millones!B238</f>
        <v>1.4456673817740882</v>
      </c>
    </row>
    <row r="239" spans="1:2">
      <c r="A239" s="2" t="s">
        <v>237</v>
      </c>
      <c r="B239">
        <f>Ingresos_Millones!B239/Activos_Millones!B239</f>
        <v>1.266599849661739</v>
      </c>
    </row>
    <row r="240" spans="1:2">
      <c r="A240" s="2" t="s">
        <v>238</v>
      </c>
      <c r="B240">
        <f>Ingresos_Millones!B240/Activos_Millones!B240</f>
        <v>1.3554344288968434</v>
      </c>
    </row>
    <row r="241" spans="1:2">
      <c r="A241" s="2" t="s">
        <v>278</v>
      </c>
      <c r="B241">
        <f>Ingresos_Millones!B241/Activos_Millones!B241</f>
        <v>1.156650641025641</v>
      </c>
    </row>
    <row r="242" spans="1:2">
      <c r="A242" s="2" t="s">
        <v>240</v>
      </c>
      <c r="B242">
        <f>Ingresos_Millones!B242/Activos_Millones!B242</f>
        <v>1.0667211531317333</v>
      </c>
    </row>
    <row r="243" spans="1:2">
      <c r="A243" s="2" t="s">
        <v>241</v>
      </c>
      <c r="B243">
        <f>Ingresos_Millones!B243/Activos_Millones!B243</f>
        <v>0.74569113114941221</v>
      </c>
    </row>
    <row r="244" spans="1:2">
      <c r="A244" s="2" t="s">
        <v>242</v>
      </c>
      <c r="B244">
        <f>Ingresos_Millones!B244/Activos_Millones!B244</f>
        <v>0.86732937191092352</v>
      </c>
    </row>
    <row r="245" spans="1:2">
      <c r="A245" s="2" t="s">
        <v>243</v>
      </c>
      <c r="B245">
        <f>Ingresos_Millones!B245/Activos_Millones!B245</f>
        <v>0.79916834216779387</v>
      </c>
    </row>
    <row r="246" spans="1:2">
      <c r="A246" s="2" t="s">
        <v>244</v>
      </c>
      <c r="B246">
        <f>Ingresos_Millones!B246/Activos_Millones!B246</f>
        <v>0.41065839327878756</v>
      </c>
    </row>
    <row r="247" spans="1:2">
      <c r="A247" s="2" t="s">
        <v>245</v>
      </c>
      <c r="B247">
        <f>Ingresos_Millones!B247/Activos_Millones!B247</f>
        <v>0.44455035803961684</v>
      </c>
    </row>
    <row r="248" spans="1:2">
      <c r="A248" s="2" t="s">
        <v>246</v>
      </c>
      <c r="B248">
        <f>Ingresos_Millones!B248/Activos_Millones!B248</f>
        <v>0.54631338430442045</v>
      </c>
    </row>
    <row r="249" spans="1:2">
      <c r="A249" s="2" t="s">
        <v>247</v>
      </c>
      <c r="B249">
        <f>Ingresos_Millones!B249/Activos_Millones!B249</f>
        <v>0.54529171985012559</v>
      </c>
    </row>
    <row r="250" spans="1:2">
      <c r="A250" s="2" t="s">
        <v>248</v>
      </c>
      <c r="B250">
        <f>Ingresos_Millones!B250/Activos_Millones!B250</f>
        <v>0.4976966690290574</v>
      </c>
    </row>
    <row r="251" spans="1:2">
      <c r="A251" s="2" t="s">
        <v>249</v>
      </c>
      <c r="B251">
        <f>Ingresos_Millones!B251/Activos_Millones!B251</f>
        <v>0.44985580320479762</v>
      </c>
    </row>
    <row r="252" spans="1:2">
      <c r="A252" s="2" t="s">
        <v>279</v>
      </c>
      <c r="B252">
        <f>Ingresos_Millones!B252/Activos_Millones!B252</f>
        <v>0.6954659487242244</v>
      </c>
    </row>
    <row r="253" spans="1:2">
      <c r="A253" s="2" t="s">
        <v>251</v>
      </c>
      <c r="B253">
        <f>Ingresos_Millones!B253/Activos_Millones!B253</f>
        <v>0.44418484692174653</v>
      </c>
    </row>
    <row r="254" spans="1:2">
      <c r="A254" s="2" t="s">
        <v>252</v>
      </c>
      <c r="B254">
        <f>Ingresos_Millones!B254/Activos_Millones!B254</f>
        <v>0.46336461201326068</v>
      </c>
    </row>
    <row r="255" spans="1:2">
      <c r="A255" s="2" t="s">
        <v>253</v>
      </c>
      <c r="B255">
        <f>Ingresos_Millones!B255/Activos_Millones!B255</f>
        <v>0.81391852570320078</v>
      </c>
    </row>
    <row r="256" spans="1:2">
      <c r="A256" s="2" t="s">
        <v>254</v>
      </c>
      <c r="B256">
        <f>Ingresos_Millones!B256/Activos_Millones!B256</f>
        <v>0.90178316399396086</v>
      </c>
    </row>
    <row r="257" spans="1:2">
      <c r="A257" s="2" t="s">
        <v>255</v>
      </c>
      <c r="B257">
        <f>Ingresos_Millones!B257/Activos_Millones!B257</f>
        <v>0.62127029728680983</v>
      </c>
    </row>
    <row r="258" spans="1:2">
      <c r="A258" s="2" t="s">
        <v>256</v>
      </c>
      <c r="B258">
        <f>Ingresos_Millones!B258/Activos_Millones!B258</f>
        <v>0.48842949050251289</v>
      </c>
    </row>
    <row r="259" spans="1:2">
      <c r="A259" s="2" t="s">
        <v>257</v>
      </c>
      <c r="B259">
        <f>Ingresos_Millones!B259/Activos_Millones!B259</f>
        <v>0.45000450280811494</v>
      </c>
    </row>
    <row r="260" spans="1:2">
      <c r="A260" s="2" t="s">
        <v>258</v>
      </c>
      <c r="B260">
        <f>Ingresos_Millones!B260/Activos_Millones!B260</f>
        <v>0.49218926945327002</v>
      </c>
    </row>
    <row r="261" spans="1:2">
      <c r="A261" s="2" t="s">
        <v>259</v>
      </c>
      <c r="B261">
        <f>Ingresos_Millones!B261/Activos_Millones!B261</f>
        <v>0.44897022582986718</v>
      </c>
    </row>
    <row r="262" spans="1:2">
      <c r="A262" s="2" t="s">
        <v>260</v>
      </c>
      <c r="B262">
        <f>Ingresos_Millones!B262/Activos_Millones!B262</f>
        <v>0.38763943613485113</v>
      </c>
    </row>
    <row r="263" spans="1:2">
      <c r="A263" s="2" t="s">
        <v>280</v>
      </c>
      <c r="B263">
        <f>Ingresos_Millones!B263/Activos_Millones!B263</f>
        <v>0.34372328380969985</v>
      </c>
    </row>
    <row r="264" spans="1:2">
      <c r="A264" s="2" t="s">
        <v>262</v>
      </c>
      <c r="B264">
        <f>Ingresos_Millones!B264/Activos_Millones!B264</f>
        <v>0.35649260628465806</v>
      </c>
    </row>
    <row r="265" spans="1:2">
      <c r="A265" s="2" t="s">
        <v>263</v>
      </c>
      <c r="B265">
        <f>Ingresos_Millones!B265/Activos_Millones!B265</f>
        <v>0.32182780937438715</v>
      </c>
    </row>
    <row r="266" spans="1:2">
      <c r="A266" s="2" t="s">
        <v>264</v>
      </c>
      <c r="B266">
        <f>Ingresos_Millones!B266/Activos_Millones!B266</f>
        <v>0.32758736333758132</v>
      </c>
    </row>
    <row r="267" spans="1:2">
      <c r="A267" s="2" t="s">
        <v>265</v>
      </c>
      <c r="B267">
        <f>Ingresos_Millones!B267/Activos_Millones!B267</f>
        <v>0.31632149031506895</v>
      </c>
    </row>
    <row r="268" spans="1:2">
      <c r="A268" s="2" t="s">
        <v>266</v>
      </c>
      <c r="B268">
        <f>Ingresos_Millones!B268/Activos_Millones!B268</f>
        <v>0.67009806313118991</v>
      </c>
    </row>
    <row r="269" spans="1:2">
      <c r="A269" s="2" t="s">
        <v>267</v>
      </c>
      <c r="B269">
        <f>Ingresos_Millones!B269/Activos_Millones!B269</f>
        <v>0.64057739373657663</v>
      </c>
    </row>
    <row r="270" spans="1:2">
      <c r="A270" s="2" t="s">
        <v>268</v>
      </c>
      <c r="B270">
        <f>Ingresos_Millones!B270/Activos_Millones!B270</f>
        <v>0.64447143309747601</v>
      </c>
    </row>
    <row r="271" spans="1:2">
      <c r="A271" s="2" t="s">
        <v>269</v>
      </c>
      <c r="B271">
        <f>Ingresos_Millones!B271/Activos_Millones!B271</f>
        <v>0.7360907346800587</v>
      </c>
    </row>
    <row r="272" spans="1:2">
      <c r="A272" s="2" t="s">
        <v>270</v>
      </c>
      <c r="B272">
        <f>Ingresos_Millones!B272/Activos_Millones!B272</f>
        <v>0.80098582871226121</v>
      </c>
    </row>
    <row r="273" spans="1:2">
      <c r="A273" s="2" t="s">
        <v>271</v>
      </c>
      <c r="B273">
        <f>Ingresos_Millones!B273/Activos_Millones!B273</f>
        <v>0.81370580001217208</v>
      </c>
    </row>
    <row r="274" spans="1:2">
      <c r="A274" s="2" t="s">
        <v>281</v>
      </c>
      <c r="B274">
        <f>Ingresos_Millones!B274/Activos_Millones!B274</f>
        <v>0.92104802474178682</v>
      </c>
    </row>
    <row r="275" spans="1:2">
      <c r="A275" s="2" t="s">
        <v>273</v>
      </c>
      <c r="B275">
        <f>Ingresos_Millones!B275/Activos_Millones!B275</f>
        <v>0.7982572982572983</v>
      </c>
    </row>
    <row r="276" spans="1:2">
      <c r="A276" s="2" t="s">
        <v>274</v>
      </c>
      <c r="B276">
        <f>Ingresos_Millones!B276/Activos_Millones!B276</f>
        <v>0.74729988114309343</v>
      </c>
    </row>
    <row r="277" spans="1:2">
      <c r="A277" s="2" t="s">
        <v>275</v>
      </c>
      <c r="B277">
        <f>Ingresos_Millones!B277/Activos_Millones!B277</f>
        <v>0.74339439131139573</v>
      </c>
    </row>
    <row r="278" spans="1:2">
      <c r="A278" s="2" t="s">
        <v>276</v>
      </c>
      <c r="B278">
        <f>Ingresos_Millones!B278/Activos_Millones!B278</f>
        <v>0.73613408314036832</v>
      </c>
    </row>
  </sheetData>
  <phoneticPr fontId="2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683D-D55C-4B9A-925D-9790C005D01E}">
  <sheetPr codeName="Hoja4"/>
  <dimension ref="A1:D278"/>
  <sheetViews>
    <sheetView topLeftCell="A227" workbookViewId="0">
      <selection activeCell="B285" sqref="B285:C285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Activos_Millones!B2/'Capital_accs._Millones '!B2</f>
        <v>4.5650219986228739</v>
      </c>
    </row>
    <row r="3" spans="1:2">
      <c r="A3" s="2" t="s">
        <v>1</v>
      </c>
      <c r="B3">
        <f>Activos_Millones!B3/'Capital_accs._Millones '!B3</f>
        <v>4.3522091008343597</v>
      </c>
    </row>
    <row r="4" spans="1:2">
      <c r="A4" s="2" t="s">
        <v>2</v>
      </c>
      <c r="B4">
        <f>Activos_Millones!B4/'Capital_accs._Millones '!B4</f>
        <v>3.9026362916810688</v>
      </c>
    </row>
    <row r="5" spans="1:2">
      <c r="A5" s="2" t="s">
        <v>3</v>
      </c>
      <c r="B5">
        <f>Activos_Millones!B5/'Capital_accs._Millones '!B5</f>
        <v>4.1591333524303122</v>
      </c>
    </row>
    <row r="6" spans="1:2">
      <c r="A6" s="2" t="s">
        <v>4</v>
      </c>
      <c r="B6">
        <f>Activos_Millones!B6/'Capital_accs._Millones '!B6</f>
        <v>4.0482941200664122</v>
      </c>
    </row>
    <row r="7" spans="1:2">
      <c r="A7" s="2" t="s">
        <v>5</v>
      </c>
      <c r="B7">
        <f>Activos_Millones!B7/'Capital_accs._Millones '!B7</f>
        <v>4.0021859243380336</v>
      </c>
    </row>
    <row r="8" spans="1:2">
      <c r="A8" s="2" t="s">
        <v>277</v>
      </c>
      <c r="B8">
        <f>Activos_Millones!B8/'Capital_accs._Millones '!B8</f>
        <v>3.5219319797406632</v>
      </c>
    </row>
    <row r="9" spans="1:2">
      <c r="A9" s="2" t="s">
        <v>7</v>
      </c>
      <c r="B9">
        <f>Activos_Millones!B9/'Capital_accs._Millones '!B9</f>
        <v>3.8438724463207343</v>
      </c>
    </row>
    <row r="10" spans="1:2">
      <c r="A10" s="2" t="s">
        <v>8</v>
      </c>
      <c r="B10">
        <f>Activos_Millones!B10/'Capital_accs._Millones '!B10</f>
        <v>3.5581292674024132</v>
      </c>
    </row>
    <row r="11" spans="1:2">
      <c r="A11" s="2" t="s">
        <v>9</v>
      </c>
      <c r="B11">
        <f>Activos_Millones!B11/'Capital_accs._Millones '!B11</f>
        <v>3.0864523423464978</v>
      </c>
    </row>
    <row r="12" spans="1:2">
      <c r="A12" s="2" t="s">
        <v>10</v>
      </c>
      <c r="B12">
        <f>Activos_Millones!B12/'Capital_accs._Millones '!B12</f>
        <v>2.8341566052511555</v>
      </c>
    </row>
    <row r="13" spans="1:2">
      <c r="A13" s="2" t="s">
        <v>11</v>
      </c>
      <c r="B13">
        <v>1.771085724151823</v>
      </c>
    </row>
    <row r="14" spans="1:2">
      <c r="A14" s="2" t="s">
        <v>12</v>
      </c>
      <c r="B14">
        <v>3.1181254975253521</v>
      </c>
    </row>
    <row r="15" spans="1:2">
      <c r="A15" s="2" t="s">
        <v>13</v>
      </c>
      <c r="B15">
        <v>2.9763921473674184</v>
      </c>
    </row>
    <row r="16" spans="1:2">
      <c r="A16" s="2" t="s">
        <v>14</v>
      </c>
      <c r="B16">
        <v>2.8336637650630405</v>
      </c>
    </row>
    <row r="17" spans="1:2">
      <c r="A17" s="2" t="s">
        <v>15</v>
      </c>
      <c r="B17">
        <v>2.5680311048709363</v>
      </c>
    </row>
    <row r="18" spans="1:2">
      <c r="A18" s="2" t="s">
        <v>16</v>
      </c>
      <c r="B18">
        <v>2.535024186689347</v>
      </c>
    </row>
    <row r="19" spans="1:2">
      <c r="A19" s="2" t="s">
        <v>17</v>
      </c>
      <c r="B19">
        <v>2.2657991471842376</v>
      </c>
    </row>
    <row r="20" spans="1:2">
      <c r="A20" s="2" t="s">
        <v>18</v>
      </c>
      <c r="B20">
        <v>2.7650074943430729</v>
      </c>
    </row>
    <row r="21" spans="1:2">
      <c r="A21" s="2" t="s">
        <v>19</v>
      </c>
      <c r="B21">
        <v>3.2324894880286803</v>
      </c>
    </row>
    <row r="22" spans="1:2">
      <c r="A22" s="2" t="s">
        <v>20</v>
      </c>
      <c r="B22">
        <v>2.9400178921851552</v>
      </c>
    </row>
    <row r="23" spans="1:2">
      <c r="A23" s="2" t="s">
        <v>21</v>
      </c>
      <c r="B23">
        <v>2.8604003505894995</v>
      </c>
    </row>
    <row r="24" spans="1:2">
      <c r="A24" s="2" t="s">
        <v>22</v>
      </c>
      <c r="B24">
        <v>3.0128610867955019</v>
      </c>
    </row>
    <row r="25" spans="1:2">
      <c r="A25" s="2" t="s">
        <v>23</v>
      </c>
      <c r="B25">
        <v>1.8386868384131909</v>
      </c>
    </row>
    <row r="26" spans="1:2">
      <c r="A26" s="2" t="s">
        <v>24</v>
      </c>
      <c r="B26">
        <v>1.83493375893681</v>
      </c>
    </row>
    <row r="27" spans="1:2">
      <c r="A27" s="2" t="s">
        <v>25</v>
      </c>
      <c r="B27">
        <v>1.5875490026519081</v>
      </c>
    </row>
    <row r="28" spans="1:2">
      <c r="A28" s="2" t="s">
        <v>26</v>
      </c>
      <c r="B28">
        <v>1.6144602587534358</v>
      </c>
    </row>
    <row r="29" spans="1:2">
      <c r="A29" s="2" t="s">
        <v>27</v>
      </c>
      <c r="B29">
        <v>1.5548437000790327</v>
      </c>
    </row>
    <row r="30" spans="1:2">
      <c r="A30" s="2" t="s">
        <v>28</v>
      </c>
      <c r="B30">
        <v>1.610931911776474</v>
      </c>
    </row>
    <row r="31" spans="1:2">
      <c r="A31" s="2" t="s">
        <v>29</v>
      </c>
      <c r="B31">
        <v>1.663695418424284</v>
      </c>
    </row>
    <row r="32" spans="1:2">
      <c r="A32" s="2" t="s">
        <v>30</v>
      </c>
      <c r="B32">
        <v>1.7393130931840857</v>
      </c>
    </row>
    <row r="33" spans="1:2">
      <c r="A33" s="2" t="s">
        <v>31</v>
      </c>
      <c r="B33">
        <v>1.7286928970204931</v>
      </c>
    </row>
    <row r="34" spans="1:2">
      <c r="A34" s="2" t="s">
        <v>32</v>
      </c>
      <c r="B34">
        <v>1.6926611208326638</v>
      </c>
    </row>
    <row r="35" spans="1:2">
      <c r="A35" s="2" t="s">
        <v>33</v>
      </c>
      <c r="B35">
        <v>2.4665594498669035</v>
      </c>
    </row>
    <row r="36" spans="1:2">
      <c r="A36" s="2" t="s">
        <v>34</v>
      </c>
      <c r="B36">
        <v>11.949206747350599</v>
      </c>
    </row>
    <row r="37" spans="1:2">
      <c r="A37" s="2" t="s">
        <v>35</v>
      </c>
      <c r="B37">
        <v>7.6574303699686279</v>
      </c>
    </row>
    <row r="38" spans="1:2">
      <c r="A38" s="2" t="s">
        <v>36</v>
      </c>
      <c r="B38">
        <v>8.4066518847006648</v>
      </c>
    </row>
    <row r="39" spans="1:2">
      <c r="A39" s="2" t="s">
        <v>37</v>
      </c>
      <c r="B39">
        <v>7.8529781439843589</v>
      </c>
    </row>
    <row r="40" spans="1:2">
      <c r="A40" s="2" t="s">
        <v>38</v>
      </c>
      <c r="B40">
        <v>8.1573877271169017</v>
      </c>
    </row>
    <row r="41" spans="1:2">
      <c r="A41" s="2" t="s">
        <v>39</v>
      </c>
      <c r="B41">
        <v>7.1395970165868867</v>
      </c>
    </row>
    <row r="42" spans="1:2">
      <c r="A42" s="2" t="s">
        <v>40</v>
      </c>
      <c r="B42">
        <v>7.7907789664004818</v>
      </c>
    </row>
    <row r="43" spans="1:2">
      <c r="A43" s="2" t="s">
        <v>41</v>
      </c>
      <c r="B43">
        <v>8.7084066471163251</v>
      </c>
    </row>
    <row r="44" spans="1:2">
      <c r="A44" s="2" t="s">
        <v>42</v>
      </c>
      <c r="B44">
        <v>5.2976153671757453</v>
      </c>
    </row>
    <row r="45" spans="1:2">
      <c r="A45" s="2" t="s">
        <v>43</v>
      </c>
      <c r="B45">
        <v>5.9174876277692983</v>
      </c>
    </row>
    <row r="46" spans="1:2">
      <c r="A46" s="2" t="s">
        <v>44</v>
      </c>
      <c r="B46">
        <v>1.4894171389899331</v>
      </c>
    </row>
    <row r="47" spans="1:2">
      <c r="A47" s="2" t="s">
        <v>45</v>
      </c>
      <c r="B47">
        <v>4.1226685796269731</v>
      </c>
    </row>
    <row r="48" spans="1:2">
      <c r="A48" s="2" t="s">
        <v>46</v>
      </c>
      <c r="B48">
        <v>3.9041470317581766</v>
      </c>
    </row>
    <row r="49" spans="1:2">
      <c r="A49" s="2" t="s">
        <v>47</v>
      </c>
      <c r="B49">
        <v>5.0110556448656123</v>
      </c>
    </row>
    <row r="50" spans="1:2">
      <c r="A50" s="2" t="s">
        <v>48</v>
      </c>
      <c r="B50">
        <v>4.8787339168819441</v>
      </c>
    </row>
    <row r="51" spans="1:2">
      <c r="A51" s="2" t="s">
        <v>49</v>
      </c>
      <c r="B51">
        <v>5.0572588739848525</v>
      </c>
    </row>
    <row r="52" spans="1:2">
      <c r="A52" s="2" t="s">
        <v>50</v>
      </c>
      <c r="B52">
        <v>5.8502058672156458</v>
      </c>
    </row>
    <row r="53" spans="1:2">
      <c r="A53" s="2" t="s">
        <v>51</v>
      </c>
      <c r="B53">
        <v>5.4564749234303216</v>
      </c>
    </row>
    <row r="54" spans="1:2">
      <c r="A54" s="2" t="s">
        <v>52</v>
      </c>
      <c r="B54">
        <v>5.2230512991339104</v>
      </c>
    </row>
    <row r="55" spans="1:2">
      <c r="A55" s="2" t="s">
        <v>53</v>
      </c>
      <c r="B55">
        <v>4.0961100696304236</v>
      </c>
    </row>
    <row r="56" spans="1:2">
      <c r="A56" s="2" t="s">
        <v>54</v>
      </c>
      <c r="B56">
        <v>3.8948105971206042</v>
      </c>
    </row>
    <row r="57" spans="1:2">
      <c r="A57" s="2" t="s">
        <v>55</v>
      </c>
      <c r="B57">
        <v>3.3484179543782191</v>
      </c>
    </row>
    <row r="58" spans="1:2">
      <c r="A58" s="2" t="s">
        <v>56</v>
      </c>
      <c r="B58">
        <v>4.7101769811644374</v>
      </c>
    </row>
    <row r="59" spans="1:2">
      <c r="A59" s="2" t="s">
        <v>57</v>
      </c>
      <c r="B59">
        <v>4.155376678491062</v>
      </c>
    </row>
    <row r="60" spans="1:2">
      <c r="A60" s="2" t="s">
        <v>58</v>
      </c>
      <c r="B60">
        <v>4.2300553245817918</v>
      </c>
    </row>
    <row r="61" spans="1:2">
      <c r="A61" s="2" t="s">
        <v>59</v>
      </c>
      <c r="B61">
        <v>4.5888946412576326</v>
      </c>
    </row>
    <row r="62" spans="1:2">
      <c r="A62" s="2" t="s">
        <v>60</v>
      </c>
      <c r="B62">
        <v>3.2570431922379384</v>
      </c>
    </row>
    <row r="63" spans="1:2">
      <c r="A63" s="2" t="s">
        <v>61</v>
      </c>
      <c r="B63">
        <v>2.9505842845270602</v>
      </c>
    </row>
    <row r="64" spans="1:2">
      <c r="A64" s="2" t="s">
        <v>62</v>
      </c>
      <c r="B64">
        <v>3.142440886177249</v>
      </c>
    </row>
    <row r="65" spans="1:2">
      <c r="A65" s="2" t="s">
        <v>63</v>
      </c>
      <c r="B65">
        <v>3.3620392708016351</v>
      </c>
    </row>
    <row r="66" spans="1:2">
      <c r="A66" s="2" t="s">
        <v>64</v>
      </c>
      <c r="B66">
        <v>3.1985302753217115</v>
      </c>
    </row>
    <row r="67" spans="1:2">
      <c r="A67" s="2" t="s">
        <v>65</v>
      </c>
      <c r="B67">
        <v>2.5291899745146642</v>
      </c>
    </row>
    <row r="68" spans="1:2">
      <c r="A68" s="2" t="s">
        <v>66</v>
      </c>
      <c r="B68">
        <v>3.7037121621060494</v>
      </c>
    </row>
    <row r="69" spans="1:2">
      <c r="A69" s="2" t="s">
        <v>67</v>
      </c>
      <c r="B69">
        <v>3.225664739884393</v>
      </c>
    </row>
    <row r="70" spans="1:2">
      <c r="A70" s="2" t="s">
        <v>68</v>
      </c>
      <c r="B70">
        <v>2.6011905340206094</v>
      </c>
    </row>
    <row r="71" spans="1:2">
      <c r="A71" s="2" t="s">
        <v>69</v>
      </c>
      <c r="B71">
        <v>2.574106586622869</v>
      </c>
    </row>
    <row r="72" spans="1:2">
      <c r="A72" s="2" t="s">
        <v>70</v>
      </c>
      <c r="B72">
        <v>2.6973691407318272</v>
      </c>
    </row>
    <row r="73" spans="1:2">
      <c r="A73" s="2" t="s">
        <v>71</v>
      </c>
      <c r="B73">
        <v>2.7954979606587846</v>
      </c>
    </row>
    <row r="74" spans="1:2">
      <c r="A74" s="2" t="s">
        <v>72</v>
      </c>
      <c r="B74">
        <v>3.177832783278328</v>
      </c>
    </row>
    <row r="75" spans="1:2">
      <c r="A75" s="2" t="s">
        <v>73</v>
      </c>
      <c r="B75">
        <v>3.1728668757434844</v>
      </c>
    </row>
    <row r="76" spans="1:2">
      <c r="A76" s="2" t="s">
        <v>74</v>
      </c>
      <c r="B76">
        <v>3.6803236651661062</v>
      </c>
    </row>
    <row r="77" spans="1:2">
      <c r="A77" s="2" t="s">
        <v>75</v>
      </c>
      <c r="B77">
        <v>3.4719155581883783</v>
      </c>
    </row>
    <row r="78" spans="1:2">
      <c r="A78" s="2" t="s">
        <v>76</v>
      </c>
      <c r="B78">
        <v>3.7297119242977779</v>
      </c>
    </row>
    <row r="79" spans="1:2">
      <c r="A79" s="2" t="s">
        <v>77</v>
      </c>
      <c r="B79">
        <v>3.5645677694770543</v>
      </c>
    </row>
    <row r="80" spans="1:2">
      <c r="A80" s="2" t="s">
        <v>78</v>
      </c>
      <c r="B80">
        <v>1.9229757548032935</v>
      </c>
    </row>
    <row r="81" spans="1:2">
      <c r="A81" s="2" t="s">
        <v>79</v>
      </c>
      <c r="B81">
        <v>1.7863474517556392</v>
      </c>
    </row>
    <row r="82" spans="1:2">
      <c r="A82" s="2" t="s">
        <v>80</v>
      </c>
      <c r="B82">
        <v>1.8254955153114842</v>
      </c>
    </row>
    <row r="83" spans="1:2">
      <c r="A83" s="2" t="s">
        <v>81</v>
      </c>
      <c r="B83">
        <v>1.8996880842366297</v>
      </c>
    </row>
    <row r="84" spans="1:2">
      <c r="A84" s="2" t="s">
        <v>82</v>
      </c>
      <c r="B84">
        <v>1.9146119281602541</v>
      </c>
    </row>
    <row r="85" spans="1:2">
      <c r="A85" s="2" t="s">
        <v>83</v>
      </c>
      <c r="B85">
        <v>1.9008776204731697</v>
      </c>
    </row>
    <row r="86" spans="1:2">
      <c r="A86" s="2" t="s">
        <v>84</v>
      </c>
      <c r="B86">
        <v>1.9098802526624929</v>
      </c>
    </row>
    <row r="87" spans="1:2">
      <c r="A87" s="2" t="s">
        <v>85</v>
      </c>
      <c r="B87">
        <v>2.0236568914422848</v>
      </c>
    </row>
    <row r="88" spans="1:2">
      <c r="A88" s="2" t="s">
        <v>86</v>
      </c>
      <c r="B88">
        <v>1.9149018740106551</v>
      </c>
    </row>
    <row r="89" spans="1:2">
      <c r="A89" s="2" t="s">
        <v>87</v>
      </c>
      <c r="B89">
        <v>1.8737880222057355</v>
      </c>
    </row>
    <row r="90" spans="1:2">
      <c r="A90" s="2" t="s">
        <v>88</v>
      </c>
      <c r="B90">
        <v>29.915039202760582</v>
      </c>
    </row>
    <row r="91" spans="1:2">
      <c r="A91" s="2" t="s">
        <v>89</v>
      </c>
      <c r="B91">
        <v>2.5258150188659783</v>
      </c>
    </row>
    <row r="92" spans="1:2">
      <c r="A92" s="2" t="s">
        <v>90</v>
      </c>
      <c r="B92">
        <v>3.0264441892437857</v>
      </c>
    </row>
    <row r="93" spans="1:2">
      <c r="A93" s="2" t="s">
        <v>91</v>
      </c>
      <c r="B93">
        <v>3.1629922072076293</v>
      </c>
    </row>
    <row r="94" spans="1:2">
      <c r="A94" s="2" t="s">
        <v>92</v>
      </c>
      <c r="B94">
        <v>3.1233652963892835</v>
      </c>
    </row>
    <row r="95" spans="1:2">
      <c r="A95" s="2" t="s">
        <v>93</v>
      </c>
      <c r="B95">
        <v>3.1579928272082527</v>
      </c>
    </row>
    <row r="96" spans="1:2">
      <c r="A96" s="2" t="s">
        <v>94</v>
      </c>
      <c r="B96">
        <v>3.1100491577431271</v>
      </c>
    </row>
    <row r="97" spans="1:2">
      <c r="A97" s="2" t="s">
        <v>95</v>
      </c>
      <c r="B97">
        <v>3.130459691279825</v>
      </c>
    </row>
    <row r="98" spans="1:2">
      <c r="A98" s="2" t="s">
        <v>96</v>
      </c>
      <c r="B98">
        <v>3.1225436700438638</v>
      </c>
    </row>
    <row r="99" spans="1:2">
      <c r="A99" s="2" t="s">
        <v>97</v>
      </c>
      <c r="B99">
        <v>3.1038568709134551</v>
      </c>
    </row>
    <row r="100" spans="1:2">
      <c r="A100" s="2" t="s">
        <v>98</v>
      </c>
      <c r="B100">
        <v>2.9041695644974332</v>
      </c>
    </row>
    <row r="101" spans="1:2">
      <c r="A101" s="2" t="s">
        <v>99</v>
      </c>
      <c r="B101">
        <v>4.9202263083451205</v>
      </c>
    </row>
    <row r="102" spans="1:2">
      <c r="A102" s="2" t="s">
        <v>100</v>
      </c>
      <c r="B102">
        <v>2.8361755771757169</v>
      </c>
    </row>
    <row r="103" spans="1:2">
      <c r="A103" s="2" t="s">
        <v>101</v>
      </c>
      <c r="B103">
        <v>3.0711230393730613</v>
      </c>
    </row>
    <row r="104" spans="1:2">
      <c r="A104" s="2" t="s">
        <v>102</v>
      </c>
      <c r="B104">
        <v>3.3594186458702584</v>
      </c>
    </row>
    <row r="105" spans="1:2">
      <c r="A105" s="2" t="s">
        <v>103</v>
      </c>
      <c r="B105">
        <v>3.2093104844150586</v>
      </c>
    </row>
    <row r="106" spans="1:2">
      <c r="A106" s="2" t="s">
        <v>104</v>
      </c>
      <c r="B106">
        <v>3.2709383871254905</v>
      </c>
    </row>
    <row r="107" spans="1:2">
      <c r="A107" s="2" t="s">
        <v>105</v>
      </c>
      <c r="B107">
        <v>3.0357677832908774</v>
      </c>
    </row>
    <row r="108" spans="1:2">
      <c r="A108" s="2" t="s">
        <v>106</v>
      </c>
      <c r="B108">
        <v>3.1382266980176556</v>
      </c>
    </row>
    <row r="109" spans="1:2">
      <c r="A109" s="2" t="s">
        <v>107</v>
      </c>
      <c r="B109">
        <v>3.3482996596618224</v>
      </c>
    </row>
    <row r="110" spans="1:2">
      <c r="A110" s="2" t="s">
        <v>108</v>
      </c>
      <c r="B110">
        <v>3.1927519143072272</v>
      </c>
    </row>
    <row r="111" spans="1:2">
      <c r="A111" s="2" t="s">
        <v>109</v>
      </c>
      <c r="B111">
        <v>3.3025931646074129</v>
      </c>
    </row>
    <row r="112" spans="1:2">
      <c r="A112" s="2" t="s">
        <v>110</v>
      </c>
      <c r="B112">
        <v>9.3265163152652821</v>
      </c>
    </row>
    <row r="113" spans="1:2">
      <c r="A113" s="2" t="s">
        <v>111</v>
      </c>
      <c r="B113">
        <v>4.2703259438838117</v>
      </c>
    </row>
    <row r="114" spans="1:2">
      <c r="A114" s="2" t="s">
        <v>112</v>
      </c>
      <c r="B114">
        <v>3.3672293716171731</v>
      </c>
    </row>
    <row r="115" spans="1:2">
      <c r="A115" s="2" t="s">
        <v>113</v>
      </c>
      <c r="B115">
        <v>3.2671401795402981</v>
      </c>
    </row>
    <row r="116" spans="1:2">
      <c r="A116" s="2" t="s">
        <v>114</v>
      </c>
      <c r="B116">
        <v>3.2825892092115843</v>
      </c>
    </row>
    <row r="117" spans="1:2">
      <c r="A117" s="2" t="s">
        <v>115</v>
      </c>
      <c r="B117">
        <v>3.8062371535899069</v>
      </c>
    </row>
    <row r="118" spans="1:2">
      <c r="A118" s="2" t="s">
        <v>116</v>
      </c>
      <c r="B118">
        <v>3.142866231355153</v>
      </c>
    </row>
    <row r="119" spans="1:2">
      <c r="A119" s="2" t="s">
        <v>117</v>
      </c>
      <c r="B119">
        <v>3.1118369819157219</v>
      </c>
    </row>
    <row r="120" spans="1:2">
      <c r="A120" s="2" t="s">
        <v>118</v>
      </c>
      <c r="B120">
        <v>2.6395443033657084</v>
      </c>
    </row>
    <row r="121" spans="1:2">
      <c r="A121" s="2" t="s">
        <v>119</v>
      </c>
      <c r="B121">
        <v>2.5351268202114436</v>
      </c>
    </row>
    <row r="122" spans="1:2">
      <c r="A122" s="2" t="s">
        <v>120</v>
      </c>
      <c r="B122">
        <v>2.2273719427864984</v>
      </c>
    </row>
    <row r="123" spans="1:2">
      <c r="A123" s="2" t="s">
        <v>121</v>
      </c>
      <c r="B123">
        <v>14.196657327275451</v>
      </c>
    </row>
    <row r="124" spans="1:2">
      <c r="A124" s="2" t="s">
        <v>122</v>
      </c>
      <c r="B124">
        <v>1.5463767864211424</v>
      </c>
    </row>
    <row r="125" spans="1:2">
      <c r="A125" s="2" t="s">
        <v>123</v>
      </c>
      <c r="B125">
        <v>1.4820760059177172</v>
      </c>
    </row>
    <row r="126" spans="1:2">
      <c r="A126" s="2" t="s">
        <v>124</v>
      </c>
      <c r="B126">
        <v>1.420769915180444</v>
      </c>
    </row>
    <row r="127" spans="1:2">
      <c r="A127" s="2" t="s">
        <v>125</v>
      </c>
      <c r="B127">
        <v>1.4008801909566821</v>
      </c>
    </row>
    <row r="128" spans="1:2">
      <c r="A128" s="2" t="s">
        <v>126</v>
      </c>
      <c r="B128">
        <v>1.4063309104594695</v>
      </c>
    </row>
    <row r="129" spans="1:2">
      <c r="A129" s="2" t="s">
        <v>127</v>
      </c>
      <c r="B129">
        <v>1.41358225505569</v>
      </c>
    </row>
    <row r="130" spans="1:2">
      <c r="A130" s="2" t="s">
        <v>128</v>
      </c>
      <c r="B130">
        <v>1.3830645216161452</v>
      </c>
    </row>
    <row r="131" spans="1:2">
      <c r="A131" s="2" t="s">
        <v>129</v>
      </c>
      <c r="B131">
        <v>1.4130659706205291</v>
      </c>
    </row>
    <row r="132" spans="1:2">
      <c r="A132" s="2" t="s">
        <v>130</v>
      </c>
      <c r="B132">
        <v>1.4401312310897971</v>
      </c>
    </row>
    <row r="133" spans="1:2">
      <c r="A133" s="2" t="s">
        <v>131</v>
      </c>
      <c r="B133">
        <v>1.2990803621700318</v>
      </c>
    </row>
    <row r="134" spans="1:2">
      <c r="A134" s="2" t="s">
        <v>132</v>
      </c>
      <c r="B134">
        <v>5.7712698972395726</v>
      </c>
    </row>
    <row r="135" spans="1:2">
      <c r="A135" s="2" t="s">
        <v>133</v>
      </c>
      <c r="B135">
        <v>6.4639678364449003</v>
      </c>
    </row>
    <row r="136" spans="1:2">
      <c r="A136" s="2" t="s">
        <v>134</v>
      </c>
      <c r="B136">
        <v>6.7904462881054286</v>
      </c>
    </row>
    <row r="137" spans="1:2">
      <c r="A137" s="2" t="s">
        <v>135</v>
      </c>
      <c r="B137">
        <v>6.8337412994540321</v>
      </c>
    </row>
    <row r="138" spans="1:2">
      <c r="A138" s="2" t="s">
        <v>136</v>
      </c>
      <c r="B138">
        <v>6.7686236581705046</v>
      </c>
    </row>
    <row r="139" spans="1:2">
      <c r="A139" s="2" t="s">
        <v>137</v>
      </c>
      <c r="B139">
        <v>7.0720190587510983</v>
      </c>
    </row>
    <row r="140" spans="1:2">
      <c r="A140" s="2" t="s">
        <v>138</v>
      </c>
      <c r="B140">
        <v>5.6004968716582271</v>
      </c>
    </row>
    <row r="141" spans="1:2">
      <c r="A141" s="2" t="s">
        <v>139</v>
      </c>
      <c r="B141">
        <v>5.5848870260003931</v>
      </c>
    </row>
    <row r="142" spans="1:2">
      <c r="A142" s="2" t="s">
        <v>140</v>
      </c>
      <c r="B142">
        <v>4.726610399785776</v>
      </c>
    </row>
    <row r="143" spans="1:2">
      <c r="A143" s="2" t="s">
        <v>141</v>
      </c>
      <c r="B143">
        <v>4.2663724513899037</v>
      </c>
    </row>
    <row r="144" spans="1:2">
      <c r="A144" s="2" t="s">
        <v>142</v>
      </c>
      <c r="B144">
        <v>4.4318812746487666</v>
      </c>
    </row>
    <row r="145" spans="1:2">
      <c r="A145" s="2" t="s">
        <v>143</v>
      </c>
      <c r="B145" s="4">
        <f>(Activos_Millones!B145/'Capital_accs._Millones '!B145)</f>
        <v>3.1660385891899918</v>
      </c>
    </row>
    <row r="146" spans="1:2">
      <c r="A146" s="2" t="s">
        <v>144</v>
      </c>
      <c r="B146" s="4">
        <f>(Activos_Millones!B146/'Capital_accs._Millones '!B146)</f>
        <v>3.3027249065244373</v>
      </c>
    </row>
    <row r="147" spans="1:2">
      <c r="A147" s="2" t="s">
        <v>145</v>
      </c>
      <c r="B147" s="4">
        <f>(Activos_Millones!B147/'Capital_accs._Millones '!B147)</f>
        <v>3.5935367146321813</v>
      </c>
    </row>
    <row r="148" spans="1:2">
      <c r="A148" s="2" t="s">
        <v>146</v>
      </c>
      <c r="B148" s="4">
        <f>(Activos_Millones!B148/'Capital_accs._Millones '!B148)</f>
        <v>3.7061558219978035</v>
      </c>
    </row>
    <row r="149" spans="1:2">
      <c r="A149" s="2" t="s">
        <v>147</v>
      </c>
      <c r="B149" s="4">
        <f>(Activos_Millones!B149/'Capital_accs._Millones '!B149)</f>
        <v>3.5760299214687472</v>
      </c>
    </row>
    <row r="150" spans="1:2">
      <c r="A150" s="2" t="s">
        <v>148</v>
      </c>
      <c r="B150" s="4">
        <f>(Activos_Millones!B150/'Capital_accs._Millones '!B150)</f>
        <v>2.830321893102357</v>
      </c>
    </row>
    <row r="151" spans="1:2">
      <c r="A151" s="2" t="s">
        <v>149</v>
      </c>
      <c r="B151" s="4">
        <f>(Activos_Millones!B151/'Capital_accs._Millones '!B151)</f>
        <v>3.5249476120536993</v>
      </c>
    </row>
    <row r="152" spans="1:2">
      <c r="A152" s="2" t="s">
        <v>150</v>
      </c>
      <c r="B152" s="4">
        <f>(Activos_Millones!B152/'Capital_accs._Millones '!B152)</f>
        <v>3.4466825853340763</v>
      </c>
    </row>
    <row r="153" spans="1:2">
      <c r="A153" s="2" t="s">
        <v>151</v>
      </c>
      <c r="B153" s="4">
        <f>(Activos_Millones!B153/'Capital_accs._Millones '!B153)</f>
        <v>3.5344155953533574</v>
      </c>
    </row>
    <row r="154" spans="1:2">
      <c r="A154" s="2" t="s">
        <v>152</v>
      </c>
      <c r="B154" s="4">
        <f>(Activos_Millones!B154/'Capital_accs._Millones '!B154)</f>
        <v>3.1111868347731964</v>
      </c>
    </row>
    <row r="155" spans="1:2">
      <c r="A155" s="2" t="s">
        <v>153</v>
      </c>
      <c r="B155" s="4">
        <f>(Activos_Millones!B155/'Capital_accs._Millones '!B155)</f>
        <v>4.4480329488063512</v>
      </c>
    </row>
    <row r="156" spans="1:2">
      <c r="A156" s="2" t="s">
        <v>154</v>
      </c>
      <c r="B156" s="4">
        <f>(Activos_Millones!B156/'Capital_accs._Millones '!B156)</f>
        <v>3.1843959918766318</v>
      </c>
    </row>
    <row r="157" spans="1:2">
      <c r="A157" s="2" t="s">
        <v>155</v>
      </c>
      <c r="B157" s="4">
        <f>(Activos_Millones!B157/'Capital_accs._Millones '!B157)</f>
        <v>8.9349639133921421</v>
      </c>
    </row>
    <row r="158" spans="1:2">
      <c r="A158" s="2" t="s">
        <v>156</v>
      </c>
      <c r="B158" s="4">
        <f>(Activos_Millones!B158/'Capital_accs._Millones '!B158)</f>
        <v>3.6229314066434823</v>
      </c>
    </row>
    <row r="159" spans="1:2">
      <c r="A159" s="2" t="s">
        <v>157</v>
      </c>
      <c r="B159" s="4">
        <f>(Activos_Millones!B159/'Capital_accs._Millones '!B159)</f>
        <v>5.3803132589710847</v>
      </c>
    </row>
    <row r="160" spans="1:2">
      <c r="A160" s="2" t="s">
        <v>158</v>
      </c>
      <c r="B160" s="4">
        <f>(Activos_Millones!B160/'Capital_accs._Millones '!B160)</f>
        <v>1.6974731906404308</v>
      </c>
    </row>
    <row r="161" spans="1:2">
      <c r="A161" s="2" t="s">
        <v>159</v>
      </c>
      <c r="B161" s="4">
        <f>(Activos_Millones!B161/'Capital_accs._Millones '!B161)</f>
        <v>4.7684621066962967</v>
      </c>
    </row>
    <row r="162" spans="1:2">
      <c r="A162" s="2" t="s">
        <v>160</v>
      </c>
      <c r="B162" s="4">
        <f>(Activos_Millones!B162/'Capital_accs._Millones '!B162)</f>
        <v>6.041031891123299</v>
      </c>
    </row>
    <row r="163" spans="1:2">
      <c r="A163" s="2" t="s">
        <v>161</v>
      </c>
      <c r="B163" s="4">
        <f>(Activos_Millones!B163/'Capital_accs._Millones '!B163)</f>
        <v>5.184194620731339</v>
      </c>
    </row>
    <row r="164" spans="1:2">
      <c r="A164" s="2" t="s">
        <v>162</v>
      </c>
      <c r="B164">
        <v>2.3463667041619796</v>
      </c>
    </row>
    <row r="165" spans="1:2">
      <c r="A165" s="2" t="s">
        <v>163</v>
      </c>
      <c r="B165">
        <v>2.0580675080327273</v>
      </c>
    </row>
    <row r="166" spans="1:2">
      <c r="A166" s="2" t="s">
        <v>164</v>
      </c>
      <c r="B166">
        <v>1.8418486041517537</v>
      </c>
    </row>
    <row r="167" spans="1:2">
      <c r="A167" s="2" t="s">
        <v>165</v>
      </c>
      <c r="B167">
        <v>3.3754557666474767</v>
      </c>
    </row>
    <row r="168" spans="1:2">
      <c r="A168" s="2" t="s">
        <v>166</v>
      </c>
      <c r="B168">
        <v>3.994633989755354</v>
      </c>
    </row>
    <row r="169" spans="1:2">
      <c r="A169" s="2" t="s">
        <v>167</v>
      </c>
      <c r="B169">
        <v>3.696819475556389</v>
      </c>
    </row>
    <row r="170" spans="1:2">
      <c r="A170" s="2" t="s">
        <v>168</v>
      </c>
      <c r="B170">
        <v>3.902713947208905</v>
      </c>
    </row>
    <row r="171" spans="1:2">
      <c r="A171" s="2" t="s">
        <v>169</v>
      </c>
      <c r="B171">
        <v>4.3372109799395302</v>
      </c>
    </row>
    <row r="172" spans="1:2">
      <c r="A172" s="2" t="s">
        <v>170</v>
      </c>
      <c r="B172">
        <v>4.4205023702694346</v>
      </c>
    </row>
    <row r="173" spans="1:2">
      <c r="A173" s="2" t="s">
        <v>171</v>
      </c>
      <c r="B173">
        <v>3.9119521427232118</v>
      </c>
    </row>
    <row r="174" spans="1:2">
      <c r="A174" s="2" t="s">
        <v>172</v>
      </c>
      <c r="B174">
        <v>4.0077761601322734</v>
      </c>
    </row>
    <row r="175" spans="1:2">
      <c r="A175" s="2" t="s">
        <v>173</v>
      </c>
      <c r="B175">
        <v>3.9127728761932201</v>
      </c>
    </row>
    <row r="176" spans="1:2">
      <c r="A176" s="2" t="s">
        <v>174</v>
      </c>
      <c r="B176">
        <v>3.6594854434252628</v>
      </c>
    </row>
    <row r="177" spans="1:2">
      <c r="A177" s="2" t="s">
        <v>175</v>
      </c>
      <c r="B177">
        <v>3.4150374337733052</v>
      </c>
    </row>
    <row r="178" spans="1:2">
      <c r="A178" s="2" t="s">
        <v>176</v>
      </c>
      <c r="B178">
        <v>2.6280573345532177</v>
      </c>
    </row>
    <row r="179" spans="1:2">
      <c r="A179" s="2" t="s">
        <v>177</v>
      </c>
      <c r="B179">
        <v>3.9550566063523638</v>
      </c>
    </row>
    <row r="180" spans="1:2">
      <c r="A180" s="2" t="s">
        <v>178</v>
      </c>
      <c r="B180">
        <v>4.5353203113192322</v>
      </c>
    </row>
    <row r="181" spans="1:2">
      <c r="A181" s="2" t="s">
        <v>179</v>
      </c>
      <c r="B181">
        <v>4.8885692309229123</v>
      </c>
    </row>
    <row r="182" spans="1:2">
      <c r="A182" s="2" t="s">
        <v>180</v>
      </c>
      <c r="B182">
        <v>4.4644857651424497</v>
      </c>
    </row>
    <row r="183" spans="1:2">
      <c r="A183" s="2" t="s">
        <v>181</v>
      </c>
      <c r="B183">
        <v>4.1527341829595734</v>
      </c>
    </row>
    <row r="184" spans="1:2">
      <c r="A184" s="2" t="s">
        <v>182</v>
      </c>
      <c r="B184">
        <v>3.8471860072549653</v>
      </c>
    </row>
    <row r="185" spans="1:2">
      <c r="A185" s="2" t="s">
        <v>183</v>
      </c>
      <c r="B185">
        <v>3.7868439534318359</v>
      </c>
    </row>
    <row r="186" spans="1:2">
      <c r="A186" s="2" t="s">
        <v>184</v>
      </c>
      <c r="B186">
        <v>3.5157503655981976</v>
      </c>
    </row>
    <row r="187" spans="1:2">
      <c r="A187" s="2" t="s">
        <v>185</v>
      </c>
      <c r="B187">
        <v>3.6573764495241519</v>
      </c>
    </row>
    <row r="188" spans="1:2">
      <c r="A188" s="2" t="s">
        <v>186</v>
      </c>
      <c r="B188">
        <v>3.8660087606947076</v>
      </c>
    </row>
    <row r="189" spans="1:2">
      <c r="A189" s="2" t="s">
        <v>187</v>
      </c>
      <c r="B189">
        <v>2.0038510492477402</v>
      </c>
    </row>
    <row r="190" spans="1:2">
      <c r="A190" s="2" t="s">
        <v>188</v>
      </c>
      <c r="B190">
        <v>9.6728743215919977</v>
      </c>
    </row>
    <row r="191" spans="1:2">
      <c r="A191" s="2" t="s">
        <v>189</v>
      </c>
      <c r="B191">
        <v>10.38556776010229</v>
      </c>
    </row>
    <row r="192" spans="1:2">
      <c r="A192" s="2" t="s">
        <v>190</v>
      </c>
      <c r="B192">
        <v>10.1660931517472</v>
      </c>
    </row>
    <row r="193" spans="1:2">
      <c r="A193" s="2" t="s">
        <v>191</v>
      </c>
      <c r="B193">
        <v>9.765253970750118</v>
      </c>
    </row>
    <row r="194" spans="1:2">
      <c r="A194" s="2" t="s">
        <v>192</v>
      </c>
      <c r="B194">
        <v>5.0460520736154697</v>
      </c>
    </row>
    <row r="195" spans="1:2">
      <c r="A195" s="2" t="s">
        <v>193</v>
      </c>
      <c r="B195">
        <v>5.7690242569670476</v>
      </c>
    </row>
    <row r="196" spans="1:2">
      <c r="A196" s="2" t="s">
        <v>194</v>
      </c>
      <c r="B196">
        <v>6.0007183300938056</v>
      </c>
    </row>
    <row r="197" spans="1:2">
      <c r="A197" s="2" t="s">
        <v>195</v>
      </c>
      <c r="B197">
        <v>5.5676351280554428</v>
      </c>
    </row>
    <row r="198" spans="1:2">
      <c r="A198" s="2" t="s">
        <v>196</v>
      </c>
      <c r="B198">
        <v>5.5449083482291535</v>
      </c>
    </row>
    <row r="199" spans="1:2">
      <c r="A199" s="2" t="s">
        <v>197</v>
      </c>
      <c r="B199">
        <v>6.2489814430453698</v>
      </c>
    </row>
    <row r="200" spans="1:2">
      <c r="A200" s="2" t="s">
        <v>198</v>
      </c>
      <c r="B200">
        <v>4.8479229809235154</v>
      </c>
    </row>
    <row r="201" spans="1:2">
      <c r="A201" s="2" t="s">
        <v>199</v>
      </c>
      <c r="B201">
        <v>3.1621109364473385</v>
      </c>
    </row>
    <row r="202" spans="1:2">
      <c r="A202" s="2" t="s">
        <v>200</v>
      </c>
      <c r="B202">
        <v>3.0241267280392208</v>
      </c>
    </row>
    <row r="203" spans="1:2">
      <c r="A203" s="2" t="s">
        <v>201</v>
      </c>
      <c r="B203">
        <v>2.6474215037180215</v>
      </c>
    </row>
    <row r="204" spans="1:2">
      <c r="A204" s="2" t="s">
        <v>202</v>
      </c>
      <c r="B204">
        <v>2.2908210324586649</v>
      </c>
    </row>
    <row r="205" spans="1:2">
      <c r="A205" s="2" t="s">
        <v>203</v>
      </c>
      <c r="B205">
        <v>2.4028259473346179</v>
      </c>
    </row>
    <row r="206" spans="1:2">
      <c r="A206" s="2" t="s">
        <v>204</v>
      </c>
      <c r="B206">
        <v>2.7901802245070835</v>
      </c>
    </row>
    <row r="207" spans="1:2">
      <c r="A207" s="2" t="s">
        <v>205</v>
      </c>
      <c r="B207">
        <v>2.678212017704805</v>
      </c>
    </row>
    <row r="208" spans="1:2">
      <c r="A208" s="2" t="s">
        <v>206</v>
      </c>
      <c r="B208">
        <v>2.8322968459468765</v>
      </c>
    </row>
    <row r="209" spans="1:4">
      <c r="A209" s="2" t="s">
        <v>207</v>
      </c>
      <c r="B209">
        <v>2.831584716567491</v>
      </c>
    </row>
    <row r="210" spans="1:4">
      <c r="A210" s="2" t="s">
        <v>208</v>
      </c>
      <c r="B210">
        <v>2.849944532890726</v>
      </c>
    </row>
    <row r="211" spans="1:4">
      <c r="A211" s="2" t="s">
        <v>209</v>
      </c>
      <c r="B211">
        <v>2.3566643256600339</v>
      </c>
    </row>
    <row r="212" spans="1:4">
      <c r="A212" s="2" t="s">
        <v>210</v>
      </c>
      <c r="B212">
        <v>2.9209103768036995</v>
      </c>
    </row>
    <row r="213" spans="1:4">
      <c r="A213" s="2" t="s">
        <v>211</v>
      </c>
      <c r="B213">
        <v>2.8638502410627846</v>
      </c>
    </row>
    <row r="214" spans="1:4">
      <c r="A214" s="2" t="s">
        <v>212</v>
      </c>
      <c r="B214">
        <v>2.8430696948204397</v>
      </c>
    </row>
    <row r="215" spans="1:4">
      <c r="A215" s="2" t="s">
        <v>213</v>
      </c>
      <c r="B215">
        <v>2.8320165131532149</v>
      </c>
    </row>
    <row r="216" spans="1:4">
      <c r="A216" s="2" t="s">
        <v>214</v>
      </c>
      <c r="B216">
        <v>2.7833692936345176</v>
      </c>
    </row>
    <row r="217" spans="1:4">
      <c r="A217" s="2" t="s">
        <v>215</v>
      </c>
      <c r="B217">
        <v>2.6843366657629182</v>
      </c>
    </row>
    <row r="218" spans="1:4">
      <c r="A218" s="2" t="s">
        <v>216</v>
      </c>
      <c r="B218">
        <v>2.6260633607019703</v>
      </c>
    </row>
    <row r="219" spans="1:4">
      <c r="A219" s="2" t="s">
        <v>217</v>
      </c>
      <c r="B219">
        <v>2.6604723782844544</v>
      </c>
    </row>
    <row r="220" spans="1:4">
      <c r="A220" s="2" t="s">
        <v>218</v>
      </c>
      <c r="B220">
        <v>2.5790162936455108</v>
      </c>
    </row>
    <row r="221" spans="1:4">
      <c r="A221" s="2" t="s">
        <v>219</v>
      </c>
      <c r="B221">
        <v>2.6219683048831732</v>
      </c>
    </row>
    <row r="222" spans="1:4">
      <c r="A222" s="2" t="s">
        <v>220</v>
      </c>
      <c r="B222">
        <v>4.0198272950938296</v>
      </c>
    </row>
    <row r="223" spans="1:4">
      <c r="A223" s="2" t="s">
        <v>221</v>
      </c>
      <c r="B223" s="2">
        <v>1.8145084314349347</v>
      </c>
      <c r="D223" s="2"/>
    </row>
    <row r="224" spans="1:4">
      <c r="A224" s="2" t="s">
        <v>222</v>
      </c>
      <c r="B224">
        <v>1.8694790032203985</v>
      </c>
    </row>
    <row r="225" spans="1:2">
      <c r="A225" s="2" t="s">
        <v>223</v>
      </c>
      <c r="B225">
        <v>2.0948146437232937</v>
      </c>
    </row>
    <row r="226" spans="1:2">
      <c r="A226" s="2" t="s">
        <v>224</v>
      </c>
      <c r="B226">
        <v>2.1978585768458623</v>
      </c>
    </row>
    <row r="227" spans="1:2">
      <c r="A227" s="2" t="s">
        <v>225</v>
      </c>
      <c r="B227">
        <v>2.3101965601965602</v>
      </c>
    </row>
    <row r="228" spans="1:2">
      <c r="A228" s="2" t="s">
        <v>226</v>
      </c>
      <c r="B228">
        <v>2.4245397626390055</v>
      </c>
    </row>
    <row r="229" spans="1:2">
      <c r="A229" s="2" t="s">
        <v>227</v>
      </c>
      <c r="B229">
        <v>2.3811282430061858</v>
      </c>
    </row>
    <row r="230" spans="1:2">
      <c r="A230" s="2" t="s">
        <v>228</v>
      </c>
      <c r="B230">
        <v>2.5158311345646438</v>
      </c>
    </row>
    <row r="231" spans="1:2">
      <c r="A231" s="2" t="s">
        <v>229</v>
      </c>
      <c r="B231">
        <v>2.4574180466373776</v>
      </c>
    </row>
    <row r="232" spans="1:2">
      <c r="A232" s="2" t="s">
        <v>230</v>
      </c>
      <c r="B232">
        <v>2.5412894375857338</v>
      </c>
    </row>
    <row r="233" spans="1:2">
      <c r="A233" s="2" t="s">
        <v>231</v>
      </c>
      <c r="B233" s="4">
        <f>(Activos_Millones!B233/'Capital_accs._Millones '!B233)</f>
        <v>4.0857636638582848</v>
      </c>
    </row>
    <row r="234" spans="1:2">
      <c r="A234" s="2" t="s">
        <v>232</v>
      </c>
      <c r="B234" s="4">
        <f>(Activos_Millones!B234/'Capital_accs._Millones '!B234)</f>
        <v>5.7012138648889605</v>
      </c>
    </row>
    <row r="235" spans="1:2">
      <c r="A235" s="2" t="s">
        <v>233</v>
      </c>
      <c r="B235" s="4">
        <f>(Activos_Millones!B235/'Capital_accs._Millones '!B235)</f>
        <v>4.9171020933524918</v>
      </c>
    </row>
    <row r="236" spans="1:2">
      <c r="A236" s="2" t="s">
        <v>234</v>
      </c>
      <c r="B236" s="4">
        <f>(Activos_Millones!B236/'Capital_accs._Millones '!B236)</f>
        <v>6.4822150767820803</v>
      </c>
    </row>
    <row r="237" spans="1:2">
      <c r="A237" s="2" t="s">
        <v>235</v>
      </c>
      <c r="B237">
        <f>Activos_Millones!B237/'Capital_accs._Millones '!B237</f>
        <v>3.2169481654047756</v>
      </c>
    </row>
    <row r="238" spans="1:2">
      <c r="A238" s="2" t="s">
        <v>236</v>
      </c>
      <c r="B238">
        <f>Activos_Millones!B238/'Capital_accs._Millones '!B238</f>
        <v>3.5582475937603717</v>
      </c>
    </row>
    <row r="239" spans="1:2">
      <c r="A239" s="2" t="s">
        <v>237</v>
      </c>
      <c r="B239">
        <f>Activos_Millones!B239/'Capital_accs._Millones '!B239</f>
        <v>4.3809001097694837</v>
      </c>
    </row>
    <row r="240" spans="1:2">
      <c r="A240" s="2" t="s">
        <v>238</v>
      </c>
      <c r="B240">
        <f>Activos_Millones!B240/'Capital_accs._Millones '!B240</f>
        <v>5.1195335276967926</v>
      </c>
    </row>
    <row r="241" spans="1:2">
      <c r="A241" s="2" t="s">
        <v>278</v>
      </c>
      <c r="B241">
        <f>Activos_Millones!B241/'Capital_accs._Millones '!B241</f>
        <v>3.4005449591280654</v>
      </c>
    </row>
    <row r="242" spans="1:2">
      <c r="A242" s="2" t="s">
        <v>240</v>
      </c>
      <c r="B242">
        <f>Activos_Millones!B242/'Capital_accs._Millones '!B242</f>
        <v>3.355522313637497</v>
      </c>
    </row>
    <row r="243" spans="1:2">
      <c r="A243" s="2" t="s">
        <v>241</v>
      </c>
      <c r="B243">
        <f>Activos_Millones!B243/'Capital_accs._Millones '!B243</f>
        <v>2.2165717900063253</v>
      </c>
    </row>
    <row r="244" spans="1:2">
      <c r="A244" s="2" t="s">
        <v>242</v>
      </c>
      <c r="B244">
        <f>Activos_Millones!B244/'Capital_accs._Millones '!B244</f>
        <v>2.1573020246795256</v>
      </c>
    </row>
    <row r="245" spans="1:2">
      <c r="A245" s="2" t="s">
        <v>243</v>
      </c>
      <c r="B245">
        <f>Activos_Millones!B245/'Capital_accs._Millones '!B245</f>
        <v>2.484277443523669</v>
      </c>
    </row>
    <row r="246" spans="1:2">
      <c r="A246" s="2" t="s">
        <v>244</v>
      </c>
      <c r="B246">
        <f>Activos_Millones!B246/'Capital_accs._Millones '!B246</f>
        <v>1.3503633397597508</v>
      </c>
    </row>
    <row r="247" spans="1:2">
      <c r="A247" s="2" t="s">
        <v>245</v>
      </c>
      <c r="B247">
        <f>Activos_Millones!B247/'Capital_accs._Millones '!B247</f>
        <v>1.2822179162319272</v>
      </c>
    </row>
    <row r="248" spans="1:2">
      <c r="A248" s="2" t="s">
        <v>246</v>
      </c>
      <c r="B248">
        <f>Activos_Millones!B248/'Capital_accs._Millones '!B248</f>
        <v>1.2612502106967578</v>
      </c>
    </row>
    <row r="249" spans="1:2">
      <c r="A249" s="2" t="s">
        <v>247</v>
      </c>
      <c r="B249">
        <f>Activos_Millones!B249/'Capital_accs._Millones '!B249</f>
        <v>1.2401133549490668</v>
      </c>
    </row>
    <row r="250" spans="1:2">
      <c r="A250" s="2" t="s">
        <v>248</v>
      </c>
      <c r="B250">
        <f>Activos_Millones!B250/'Capital_accs._Millones '!B250</f>
        <v>1.6166258234938418</v>
      </c>
    </row>
    <row r="251" spans="1:2">
      <c r="A251" s="2" t="s">
        <v>249</v>
      </c>
      <c r="B251">
        <f>Activos_Millones!B251/'Capital_accs._Millones '!B251</f>
        <v>1.6476493171376423</v>
      </c>
    </row>
    <row r="252" spans="1:2">
      <c r="A252" s="2" t="s">
        <v>279</v>
      </c>
      <c r="B252">
        <f>Activos_Millones!B252/'Capital_accs._Millones '!B252</f>
        <v>35.22198275862069</v>
      </c>
    </row>
    <row r="253" spans="1:2">
      <c r="A253" s="2" t="s">
        <v>251</v>
      </c>
      <c r="B253">
        <f>Activos_Millones!B253/'Capital_accs._Millones '!B253</f>
        <v>6.7135872886534935</v>
      </c>
    </row>
    <row r="254" spans="1:2">
      <c r="A254" s="2" t="s">
        <v>252</v>
      </c>
      <c r="B254">
        <f>Activos_Millones!B254/'Capital_accs._Millones '!B254</f>
        <v>5.8571663649827217</v>
      </c>
    </row>
    <row r="255" spans="1:2">
      <c r="A255" s="2" t="s">
        <v>253</v>
      </c>
      <c r="B255">
        <f>Activos_Millones!B255/'Capital_accs._Millones '!B255</f>
        <v>4.1447236180904525</v>
      </c>
    </row>
    <row r="256" spans="1:2">
      <c r="A256" s="2" t="s">
        <v>254</v>
      </c>
      <c r="B256">
        <f>Activos_Millones!B256/'Capital_accs._Millones '!B256</f>
        <v>2.7210348081940818</v>
      </c>
    </row>
    <row r="257" spans="1:2">
      <c r="A257" s="2" t="s">
        <v>255</v>
      </c>
      <c r="B257">
        <f>Activos_Millones!B257/'Capital_accs._Millones '!B257</f>
        <v>1.5263528108238036</v>
      </c>
    </row>
    <row r="258" spans="1:2">
      <c r="A258" s="2" t="s">
        <v>256</v>
      </c>
      <c r="B258">
        <f>Activos_Millones!B258/'Capital_accs._Millones '!B258</f>
        <v>1.7527718378548085</v>
      </c>
    </row>
    <row r="259" spans="1:2">
      <c r="A259" s="2" t="s">
        <v>257</v>
      </c>
      <c r="B259">
        <f>Activos_Millones!B259/'Capital_accs._Millones '!B259</f>
        <v>1.8473896873069564</v>
      </c>
    </row>
    <row r="260" spans="1:2">
      <c r="A260" s="2" t="s">
        <v>258</v>
      </c>
      <c r="B260">
        <f>Activos_Millones!B260/'Capital_accs._Millones '!B260</f>
        <v>1.9342121741375442</v>
      </c>
    </row>
    <row r="261" spans="1:2">
      <c r="A261" s="2" t="s">
        <v>259</v>
      </c>
      <c r="B261">
        <f>Activos_Millones!B261/'Capital_accs._Millones '!B261</f>
        <v>1.8422789014231429</v>
      </c>
    </row>
    <row r="262" spans="1:2">
      <c r="A262" s="2" t="s">
        <v>260</v>
      </c>
      <c r="B262">
        <f>Activos_Millones!B262/'Capital_accs._Millones '!B262</f>
        <v>1.972368115523718</v>
      </c>
    </row>
    <row r="263" spans="1:2">
      <c r="A263" s="2" t="s">
        <v>280</v>
      </c>
      <c r="B263">
        <f>Activos_Millones!B263/'Capital_accs._Millones '!B263</f>
        <v>1.8266576626007682</v>
      </c>
    </row>
    <row r="264" spans="1:2">
      <c r="A264" s="2" t="s">
        <v>262</v>
      </c>
      <c r="B264">
        <f>Activos_Millones!B264/'Capital_accs._Millones '!B264</f>
        <v>1.8417805012979276</v>
      </c>
    </row>
    <row r="265" spans="1:2">
      <c r="A265" s="2" t="s">
        <v>263</v>
      </c>
      <c r="B265">
        <f>Activos_Millones!B265/'Capital_accs._Millones '!B265</f>
        <v>1.8211364691596128</v>
      </c>
    </row>
    <row r="266" spans="1:2">
      <c r="A266" s="2" t="s">
        <v>264</v>
      </c>
      <c r="B266">
        <f>Activos_Millones!B266/'Capital_accs._Millones '!B266</f>
        <v>1.7971853057288369</v>
      </c>
    </row>
    <row r="267" spans="1:2">
      <c r="A267" s="2" t="s">
        <v>265</v>
      </c>
      <c r="B267">
        <f>Activos_Millones!B267/'Capital_accs._Millones '!B267</f>
        <v>1.7495139038918552</v>
      </c>
    </row>
    <row r="268" spans="1:2">
      <c r="A268" s="2" t="s">
        <v>266</v>
      </c>
      <c r="B268">
        <f>Activos_Millones!B268/'Capital_accs._Millones '!B268</f>
        <v>1.8715303140978816</v>
      </c>
    </row>
    <row r="269" spans="1:2">
      <c r="A269" s="2" t="s">
        <v>267</v>
      </c>
      <c r="B269">
        <f>Activos_Millones!B269/'Capital_accs._Millones '!B269</f>
        <v>1.8265669190767266</v>
      </c>
    </row>
    <row r="270" spans="1:2">
      <c r="A270" s="2" t="s">
        <v>268</v>
      </c>
      <c r="B270">
        <f>Activos_Millones!B270/'Capital_accs._Millones '!B270</f>
        <v>1.7523827149070048</v>
      </c>
    </row>
    <row r="271" spans="1:2">
      <c r="A271" s="2" t="s">
        <v>269</v>
      </c>
      <c r="B271">
        <f>Activos_Millones!B271/'Capital_accs._Millones '!B271</f>
        <v>1.7056785370548604</v>
      </c>
    </row>
    <row r="272" spans="1:2">
      <c r="A272" s="2" t="s">
        <v>270</v>
      </c>
      <c r="B272">
        <f>Activos_Millones!B272/'Capital_accs._Millones '!B272</f>
        <v>1.6318117836316106</v>
      </c>
    </row>
    <row r="273" spans="1:2">
      <c r="A273" s="2" t="s">
        <v>271</v>
      </c>
      <c r="B273">
        <f>Activos_Millones!B273/'Capital_accs._Millones '!B273</f>
        <v>1.5688914351188772</v>
      </c>
    </row>
    <row r="274" spans="1:2">
      <c r="A274" s="2" t="s">
        <v>281</v>
      </c>
      <c r="B274">
        <f>Activos_Millones!B274/'Capital_accs._Millones '!B274</f>
        <v>1.9053813653546809</v>
      </c>
    </row>
    <row r="275" spans="1:2">
      <c r="A275" s="2" t="s">
        <v>273</v>
      </c>
      <c r="B275">
        <f>Activos_Millones!B275/'Capital_accs._Millones '!B275</f>
        <v>2.0229033344560459</v>
      </c>
    </row>
    <row r="276" spans="1:2">
      <c r="A276" s="2" t="s">
        <v>274</v>
      </c>
      <c r="B276">
        <f>Activos_Millones!B276/'Capital_accs._Millones '!B276</f>
        <v>2.106345923587678</v>
      </c>
    </row>
    <row r="277" spans="1:2">
      <c r="A277" s="2" t="s">
        <v>275</v>
      </c>
      <c r="B277">
        <f>Activos_Millones!B277/'Capital_accs._Millones '!B277</f>
        <v>1.8507462686567164</v>
      </c>
    </row>
    <row r="278" spans="1:2">
      <c r="A278" s="2" t="s">
        <v>276</v>
      </c>
      <c r="B278">
        <f>Activos_Millones!B278/'Capital_accs._Millones '!B278</f>
        <v>1.8664334225149208</v>
      </c>
    </row>
  </sheetData>
  <phoneticPr fontId="2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9C15-BA58-4C92-A0DA-EE77C011BC5E}">
  <sheetPr codeName="Hoja5"/>
  <dimension ref="A1:B278"/>
  <sheetViews>
    <sheetView topLeftCell="A239" workbookViewId="0">
      <selection activeCell="G249" sqref="G249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100306</v>
      </c>
    </row>
    <row r="3" spans="1:2">
      <c r="A3" s="2" t="s">
        <v>1</v>
      </c>
      <c r="B3">
        <v>105876</v>
      </c>
    </row>
    <row r="4" spans="1:2">
      <c r="A4" s="2" t="s">
        <v>2</v>
      </c>
      <c r="B4">
        <v>110351</v>
      </c>
    </row>
    <row r="5" spans="1:2">
      <c r="A5" s="2" t="s">
        <v>3</v>
      </c>
      <c r="B5">
        <v>116324</v>
      </c>
    </row>
    <row r="6" spans="1:2">
      <c r="A6" s="2" t="s">
        <v>4</v>
      </c>
      <c r="B6">
        <v>122244</v>
      </c>
    </row>
    <row r="7" spans="1:2">
      <c r="A7" s="2" t="s">
        <v>5</v>
      </c>
      <c r="B7">
        <v>124729</v>
      </c>
    </row>
    <row r="8" spans="1:2">
      <c r="A8" s="2" t="s">
        <v>277</v>
      </c>
      <c r="B8">
        <v>134682</v>
      </c>
    </row>
    <row r="9" spans="1:2">
      <c r="A9" s="2" t="s">
        <v>7</v>
      </c>
      <c r="B9">
        <v>133778</v>
      </c>
    </row>
    <row r="10" spans="1:2">
      <c r="A10" s="2" t="s">
        <v>8</v>
      </c>
      <c r="B10">
        <v>120726</v>
      </c>
    </row>
    <row r="11" spans="1:2">
      <c r="A11" s="2" t="s">
        <v>9</v>
      </c>
      <c r="B11">
        <v>118909</v>
      </c>
    </row>
    <row r="12" spans="1:2">
      <c r="A12" s="2" t="s">
        <v>10</v>
      </c>
      <c r="B12">
        <v>149475</v>
      </c>
    </row>
    <row r="13" spans="1:2">
      <c r="A13" s="2" t="s">
        <v>11</v>
      </c>
      <c r="B13">
        <v>163788</v>
      </c>
    </row>
    <row r="14" spans="1:2">
      <c r="A14" s="2" t="s">
        <v>12</v>
      </c>
      <c r="B14">
        <v>169639</v>
      </c>
    </row>
    <row r="15" spans="1:2">
      <c r="A15" s="2" t="s">
        <v>13</v>
      </c>
      <c r="B15">
        <v>177762</v>
      </c>
    </row>
    <row r="16" spans="1:2">
      <c r="A16" s="2" t="s">
        <v>14</v>
      </c>
      <c r="B16">
        <v>189168</v>
      </c>
    </row>
    <row r="17" spans="1:2">
      <c r="A17" s="2" t="s">
        <v>15</v>
      </c>
      <c r="B17">
        <v>207899</v>
      </c>
    </row>
    <row r="18" spans="1:2">
      <c r="A18" s="2" t="s">
        <v>16</v>
      </c>
      <c r="B18">
        <v>220137</v>
      </c>
    </row>
    <row r="19" spans="1:2">
      <c r="A19" s="2" t="s">
        <v>17</v>
      </c>
      <c r="B19">
        <v>243226</v>
      </c>
    </row>
    <row r="20" spans="1:2">
      <c r="A20" s="2" t="s">
        <v>18</v>
      </c>
      <c r="B20">
        <v>241458</v>
      </c>
    </row>
    <row r="21" spans="1:2">
      <c r="A21" s="2" t="s">
        <v>19</v>
      </c>
      <c r="B21">
        <v>236386</v>
      </c>
    </row>
    <row r="22" spans="1:2">
      <c r="A22" s="2" t="s">
        <v>20</v>
      </c>
      <c r="B22">
        <v>190875</v>
      </c>
    </row>
    <row r="23" spans="1:2">
      <c r="A23" s="2" t="s">
        <v>21</v>
      </c>
      <c r="B23">
        <v>199038</v>
      </c>
    </row>
    <row r="24" spans="1:2">
      <c r="A24" s="2" t="s">
        <v>22</v>
      </c>
      <c r="B24">
        <v>126036</v>
      </c>
    </row>
    <row r="25" spans="1:2">
      <c r="A25" s="2" t="s">
        <v>23</v>
      </c>
      <c r="B25">
        <v>132276</v>
      </c>
    </row>
    <row r="26" spans="1:2">
      <c r="A26" s="2" t="s">
        <v>24</v>
      </c>
      <c r="B26">
        <v>139842</v>
      </c>
    </row>
    <row r="27" spans="1:2">
      <c r="A27" s="2" t="s">
        <v>25</v>
      </c>
      <c r="B27">
        <v>146714</v>
      </c>
    </row>
    <row r="28" spans="1:2">
      <c r="A28" s="2" t="s">
        <v>26</v>
      </c>
      <c r="B28">
        <v>151775</v>
      </c>
    </row>
    <row r="29" spans="1:2">
      <c r="A29" s="2" t="s">
        <v>27</v>
      </c>
      <c r="B29">
        <v>154493</v>
      </c>
    </row>
    <row r="30" spans="1:2">
      <c r="A30" s="2" t="s">
        <v>28</v>
      </c>
      <c r="B30">
        <v>171992</v>
      </c>
    </row>
    <row r="31" spans="1:2">
      <c r="A31" s="2" t="s">
        <v>29</v>
      </c>
      <c r="B31">
        <v>170932</v>
      </c>
    </row>
    <row r="32" spans="1:2">
      <c r="A32" s="2" t="s">
        <v>30</v>
      </c>
      <c r="B32">
        <v>168391</v>
      </c>
    </row>
    <row r="33" spans="1:2">
      <c r="A33" s="2" t="s">
        <v>31</v>
      </c>
      <c r="B33">
        <v>167950</v>
      </c>
    </row>
    <row r="34" spans="1:2">
      <c r="A34" s="2" t="s">
        <v>32</v>
      </c>
      <c r="B34">
        <v>164572</v>
      </c>
    </row>
    <row r="35" spans="1:2">
      <c r="A35" s="2" t="s">
        <v>33</v>
      </c>
      <c r="B35">
        <v>164000</v>
      </c>
    </row>
    <row r="36" spans="1:2">
      <c r="A36" s="2" t="s">
        <v>34</v>
      </c>
      <c r="B36">
        <v>171000</v>
      </c>
    </row>
    <row r="37" spans="1:2">
      <c r="A37" s="2" t="s">
        <v>35</v>
      </c>
      <c r="B37">
        <v>181000</v>
      </c>
    </row>
    <row r="38" spans="1:2">
      <c r="A38" s="2" t="s">
        <v>36</v>
      </c>
      <c r="B38">
        <v>187000</v>
      </c>
    </row>
    <row r="39" spans="1:2">
      <c r="A39" s="2" t="s">
        <v>37</v>
      </c>
      <c r="B39">
        <v>199000</v>
      </c>
    </row>
    <row r="40" spans="1:2">
      <c r="A40" s="2" t="s">
        <v>38</v>
      </c>
      <c r="B40">
        <v>201000</v>
      </c>
    </row>
    <row r="41" spans="1:2">
      <c r="A41" s="2" t="s">
        <v>39</v>
      </c>
      <c r="B41">
        <v>199000</v>
      </c>
    </row>
    <row r="42" spans="1:2">
      <c r="A42" s="2" t="s">
        <v>40</v>
      </c>
      <c r="B42">
        <v>190000</v>
      </c>
    </row>
    <row r="43" spans="1:2">
      <c r="A43" s="2" t="s">
        <v>41</v>
      </c>
      <c r="B43">
        <v>186000</v>
      </c>
    </row>
    <row r="44" spans="1:2">
      <c r="A44" s="2" t="s">
        <v>42</v>
      </c>
      <c r="B44">
        <v>183000</v>
      </c>
    </row>
    <row r="45" spans="1:2">
      <c r="A45" s="2" t="s">
        <v>43</v>
      </c>
      <c r="B45">
        <v>173000</v>
      </c>
    </row>
    <row r="46" spans="1:2">
      <c r="A46" s="2" t="s">
        <v>44</v>
      </c>
      <c r="B46">
        <v>207000</v>
      </c>
    </row>
    <row r="47" spans="1:2">
      <c r="A47" s="2" t="s">
        <v>45</v>
      </c>
      <c r="B47">
        <v>213000</v>
      </c>
    </row>
    <row r="48" spans="1:2">
      <c r="A48" s="2" t="s">
        <v>46</v>
      </c>
      <c r="B48">
        <v>219000</v>
      </c>
    </row>
    <row r="49" spans="1:2">
      <c r="A49" s="2" t="s">
        <v>47</v>
      </c>
      <c r="B49">
        <v>216000</v>
      </c>
    </row>
    <row r="50" spans="1:2">
      <c r="A50" s="2" t="s">
        <v>48</v>
      </c>
      <c r="B50">
        <v>215000</v>
      </c>
    </row>
    <row r="51" spans="1:2">
      <c r="A51" s="2" t="s">
        <v>49</v>
      </c>
      <c r="B51">
        <v>225000</v>
      </c>
    </row>
    <row r="52" spans="1:2">
      <c r="A52" s="2" t="s">
        <v>50</v>
      </c>
      <c r="B52">
        <v>173000</v>
      </c>
    </row>
    <row r="53" spans="1:2">
      <c r="A53" s="2" t="s">
        <v>51</v>
      </c>
      <c r="B53">
        <v>164000</v>
      </c>
    </row>
    <row r="54" spans="1:2">
      <c r="A54" s="2" t="s">
        <v>52</v>
      </c>
      <c r="B54">
        <v>155000</v>
      </c>
    </row>
    <row r="55" spans="1:2">
      <c r="A55" s="2" t="s">
        <v>53</v>
      </c>
      <c r="B55">
        <v>157000</v>
      </c>
    </row>
    <row r="56" spans="1:2">
      <c r="A56" s="2" t="s">
        <v>54</v>
      </c>
      <c r="B56">
        <v>167000</v>
      </c>
    </row>
    <row r="57" spans="1:2">
      <c r="A57" s="2" t="s">
        <v>55</v>
      </c>
      <c r="B57">
        <v>323540</v>
      </c>
    </row>
    <row r="58" spans="1:2">
      <c r="A58" s="2" t="s">
        <v>56</v>
      </c>
      <c r="B58">
        <v>326240</v>
      </c>
    </row>
    <row r="59" spans="1:2">
      <c r="A59" s="2" t="s">
        <v>57</v>
      </c>
      <c r="B59">
        <v>320725</v>
      </c>
    </row>
    <row r="60" spans="1:2">
      <c r="A60" s="2" t="s">
        <v>58</v>
      </c>
      <c r="B60">
        <v>333150</v>
      </c>
    </row>
    <row r="61" spans="1:2">
      <c r="A61" s="2" t="s">
        <v>59</v>
      </c>
      <c r="B61">
        <v>335244</v>
      </c>
    </row>
    <row r="62" spans="1:2">
      <c r="A62" s="2" t="s">
        <v>60</v>
      </c>
      <c r="B62">
        <v>303887</v>
      </c>
    </row>
    <row r="63" spans="1:2">
      <c r="A63" s="2" t="s">
        <v>61</v>
      </c>
      <c r="B63">
        <v>295941</v>
      </c>
    </row>
    <row r="64" spans="1:2">
      <c r="A64" s="2" t="s">
        <v>62</v>
      </c>
      <c r="B64">
        <v>301056</v>
      </c>
    </row>
    <row r="65" spans="1:2">
      <c r="A65" s="2" t="s">
        <v>63</v>
      </c>
      <c r="B65">
        <v>350864</v>
      </c>
    </row>
    <row r="66" spans="1:2">
      <c r="A66" s="2" t="s">
        <v>64</v>
      </c>
      <c r="B66">
        <v>368247</v>
      </c>
    </row>
    <row r="67" spans="1:2">
      <c r="A67" s="2" t="s">
        <v>65</v>
      </c>
      <c r="B67">
        <v>322525</v>
      </c>
    </row>
    <row r="68" spans="1:2">
      <c r="A68" s="2" t="s">
        <v>66</v>
      </c>
      <c r="B68">
        <v>132000</v>
      </c>
    </row>
    <row r="69" spans="1:2">
      <c r="A69" s="2" t="s">
        <v>67</v>
      </c>
      <c r="B69">
        <v>132000</v>
      </c>
    </row>
    <row r="70" spans="1:2">
      <c r="A70" s="2" t="s">
        <v>68</v>
      </c>
      <c r="B70">
        <v>131000</v>
      </c>
    </row>
    <row r="71" spans="1:2">
      <c r="A71" s="2" t="s">
        <v>69</v>
      </c>
      <c r="B71">
        <v>127000</v>
      </c>
    </row>
    <row r="72" spans="1:2">
      <c r="A72" s="2" t="s">
        <v>70</v>
      </c>
      <c r="B72">
        <v>129000</v>
      </c>
    </row>
    <row r="73" spans="1:2">
      <c r="A73" s="2" t="s">
        <v>71</v>
      </c>
      <c r="B73">
        <v>131000</v>
      </c>
    </row>
    <row r="74" spans="1:2">
      <c r="A74" s="2" t="s">
        <v>72</v>
      </c>
      <c r="B74">
        <v>114000</v>
      </c>
    </row>
    <row r="75" spans="1:2">
      <c r="A75" s="2" t="s">
        <v>73</v>
      </c>
      <c r="B75">
        <v>113000</v>
      </c>
    </row>
    <row r="76" spans="1:2">
      <c r="A76" s="2" t="s">
        <v>74</v>
      </c>
      <c r="B76">
        <v>103000</v>
      </c>
    </row>
    <row r="77" spans="1:2">
      <c r="A77" s="2" t="s">
        <v>75</v>
      </c>
      <c r="B77">
        <v>99000</v>
      </c>
    </row>
    <row r="78" spans="1:2">
      <c r="A78" s="2" t="s">
        <v>76</v>
      </c>
      <c r="B78">
        <v>97000</v>
      </c>
    </row>
    <row r="79" spans="1:2">
      <c r="A79" s="2" t="s">
        <v>77</v>
      </c>
      <c r="B79">
        <v>45312</v>
      </c>
    </row>
    <row r="80" spans="1:2">
      <c r="A80" s="2" t="s">
        <v>78</v>
      </c>
      <c r="B80">
        <v>47083</v>
      </c>
    </row>
    <row r="81" spans="1:2">
      <c r="A81" s="2" t="s">
        <v>79</v>
      </c>
      <c r="B81">
        <v>48089</v>
      </c>
    </row>
    <row r="82" spans="1:2">
      <c r="A82" s="2" t="s">
        <v>80</v>
      </c>
      <c r="B82">
        <v>48936</v>
      </c>
    </row>
    <row r="83" spans="1:2">
      <c r="A83" s="2" t="s">
        <v>81</v>
      </c>
      <c r="B83">
        <v>50348</v>
      </c>
    </row>
    <row r="84" spans="1:2">
      <c r="A84" s="2" t="s">
        <v>82</v>
      </c>
      <c r="B84">
        <v>51357</v>
      </c>
    </row>
    <row r="85" spans="1:2">
      <c r="A85" s="2" t="s">
        <v>83</v>
      </c>
      <c r="B85">
        <v>52578</v>
      </c>
    </row>
    <row r="86" spans="1:2">
      <c r="A86" s="2" t="s">
        <v>84</v>
      </c>
      <c r="B86">
        <v>52448</v>
      </c>
    </row>
    <row r="87" spans="1:2">
      <c r="A87" s="2" t="s">
        <v>85</v>
      </c>
      <c r="B87">
        <v>51899</v>
      </c>
    </row>
    <row r="88" spans="1:2">
      <c r="A88" s="2" t="s">
        <v>86</v>
      </c>
      <c r="B88">
        <v>51975</v>
      </c>
    </row>
    <row r="89" spans="1:2">
      <c r="A89" s="2" t="s">
        <v>87</v>
      </c>
      <c r="B89">
        <v>35847</v>
      </c>
    </row>
    <row r="90" spans="1:2">
      <c r="A90" s="2" t="s">
        <v>88</v>
      </c>
      <c r="B90">
        <v>91045</v>
      </c>
    </row>
    <row r="91" spans="1:2">
      <c r="A91" s="2" t="s">
        <v>89</v>
      </c>
      <c r="B91">
        <v>86697</v>
      </c>
    </row>
    <row r="92" spans="1:2">
      <c r="A92" s="2" t="s">
        <v>90</v>
      </c>
      <c r="B92">
        <v>85905</v>
      </c>
    </row>
    <row r="93" spans="1:2">
      <c r="A93" s="2" t="s">
        <v>91</v>
      </c>
      <c r="B93">
        <v>83000</v>
      </c>
    </row>
    <row r="94" spans="1:2">
      <c r="A94" s="2" t="s">
        <v>92</v>
      </c>
      <c r="B94">
        <v>77000</v>
      </c>
    </row>
    <row r="95" spans="1:2">
      <c r="A95" s="2" t="s">
        <v>93</v>
      </c>
      <c r="B95">
        <v>75000</v>
      </c>
    </row>
    <row r="96" spans="1:2">
      <c r="A96" s="2" t="s">
        <v>94</v>
      </c>
      <c r="B96">
        <v>72600</v>
      </c>
    </row>
    <row r="97" spans="1:2">
      <c r="A97" s="2" t="s">
        <v>95</v>
      </c>
      <c r="B97">
        <v>74000</v>
      </c>
    </row>
    <row r="98" spans="1:2">
      <c r="A98" s="2" t="s">
        <v>96</v>
      </c>
      <c r="B98">
        <v>75000</v>
      </c>
    </row>
    <row r="99" spans="1:2">
      <c r="A99" s="2" t="s">
        <v>97</v>
      </c>
      <c r="B99">
        <v>75000</v>
      </c>
    </row>
    <row r="100" spans="1:2">
      <c r="A100" s="2" t="s">
        <v>98</v>
      </c>
      <c r="B100">
        <v>74000</v>
      </c>
    </row>
    <row r="101" spans="1:2">
      <c r="A101" s="2" t="s">
        <v>99</v>
      </c>
      <c r="B101">
        <v>157000</v>
      </c>
    </row>
    <row r="102" spans="1:2">
      <c r="A102" s="2" t="s">
        <v>100</v>
      </c>
      <c r="B102">
        <v>160530</v>
      </c>
    </row>
    <row r="103" spans="1:2">
      <c r="A103" s="2" t="s">
        <v>101</v>
      </c>
      <c r="B103">
        <v>142925</v>
      </c>
    </row>
    <row r="104" spans="1:2">
      <c r="A104" s="2" t="s">
        <v>102</v>
      </c>
      <c r="B104">
        <v>149388</v>
      </c>
    </row>
    <row r="105" spans="1:2">
      <c r="A105" s="2" t="s">
        <v>103</v>
      </c>
      <c r="B105">
        <v>152421</v>
      </c>
    </row>
    <row r="106" spans="1:2">
      <c r="A106" s="2" t="s">
        <v>104</v>
      </c>
      <c r="B106">
        <v>137250</v>
      </c>
    </row>
    <row r="107" spans="1:2">
      <c r="A107" s="2" t="s">
        <v>105</v>
      </c>
      <c r="B107">
        <v>148513</v>
      </c>
    </row>
    <row r="108" spans="1:2">
      <c r="A108" s="2" t="s">
        <v>106</v>
      </c>
      <c r="B108">
        <v>144933</v>
      </c>
    </row>
    <row r="109" spans="1:2">
      <c r="A109" s="2" t="s">
        <v>107</v>
      </c>
      <c r="B109">
        <v>139507</v>
      </c>
    </row>
    <row r="110" spans="1:2">
      <c r="A110" s="2" t="s">
        <v>108</v>
      </c>
      <c r="B110">
        <v>141983</v>
      </c>
    </row>
    <row r="111" spans="1:2">
      <c r="A111" s="2" t="s">
        <v>109</v>
      </c>
      <c r="B111">
        <v>139418</v>
      </c>
    </row>
    <row r="112" spans="1:2">
      <c r="A112" s="2" t="s">
        <v>110</v>
      </c>
      <c r="B112">
        <v>330767</v>
      </c>
    </row>
    <row r="113" spans="1:2">
      <c r="A113" s="2" t="s">
        <v>111</v>
      </c>
      <c r="B113">
        <v>293742</v>
      </c>
    </row>
    <row r="114" spans="1:2">
      <c r="A114" s="2" t="s">
        <v>112</v>
      </c>
      <c r="B114">
        <v>271789</v>
      </c>
    </row>
    <row r="115" spans="1:2">
      <c r="A115" s="2" t="s">
        <v>113</v>
      </c>
      <c r="B115">
        <v>254084</v>
      </c>
    </row>
    <row r="116" spans="1:2">
      <c r="A116" s="2" t="s">
        <v>114</v>
      </c>
      <c r="B116">
        <v>249520</v>
      </c>
    </row>
    <row r="117" spans="1:2">
      <c r="A117" s="2" t="s">
        <v>115</v>
      </c>
      <c r="B117">
        <v>257533</v>
      </c>
    </row>
    <row r="118" spans="1:2">
      <c r="A118" s="2" t="s">
        <v>116</v>
      </c>
      <c r="B118">
        <v>271869</v>
      </c>
    </row>
    <row r="119" spans="1:2">
      <c r="A119" s="2" t="s">
        <v>117</v>
      </c>
      <c r="B119">
        <v>259385</v>
      </c>
    </row>
    <row r="120" spans="1:2">
      <c r="A120" s="2" t="s">
        <v>118</v>
      </c>
      <c r="B120">
        <v>243540</v>
      </c>
    </row>
    <row r="121" spans="1:2">
      <c r="A121" s="2" t="s">
        <v>119</v>
      </c>
      <c r="B121">
        <v>240198</v>
      </c>
    </row>
    <row r="122" spans="1:2">
      <c r="A122" s="2" t="s">
        <v>120</v>
      </c>
      <c r="B122">
        <v>233391</v>
      </c>
    </row>
    <row r="123" spans="1:2">
      <c r="A123" s="2" t="s">
        <v>121</v>
      </c>
      <c r="B123">
        <v>221726</v>
      </c>
    </row>
    <row r="124" spans="1:2">
      <c r="A124" s="2" t="s">
        <v>122</v>
      </c>
      <c r="B124">
        <v>236000</v>
      </c>
    </row>
    <row r="125" spans="1:2">
      <c r="A125" s="2" t="s">
        <v>123</v>
      </c>
      <c r="B125">
        <v>286000</v>
      </c>
    </row>
    <row r="126" spans="1:2">
      <c r="A126" s="2" t="s">
        <v>124</v>
      </c>
      <c r="B126">
        <v>307000</v>
      </c>
    </row>
    <row r="127" spans="1:2">
      <c r="A127" s="2" t="s">
        <v>125</v>
      </c>
      <c r="B127">
        <v>319000</v>
      </c>
    </row>
    <row r="128" spans="1:2">
      <c r="A128" s="2" t="s">
        <v>126</v>
      </c>
      <c r="B128">
        <v>325000</v>
      </c>
    </row>
    <row r="129" spans="1:2">
      <c r="A129" s="2" t="s">
        <v>127</v>
      </c>
      <c r="B129">
        <v>309630</v>
      </c>
    </row>
    <row r="130" spans="1:2">
      <c r="A130" s="2" t="s">
        <v>128</v>
      </c>
      <c r="B130">
        <v>287439</v>
      </c>
    </row>
    <row r="131" spans="1:2">
      <c r="A131" s="2" t="s">
        <v>129</v>
      </c>
      <c r="B131">
        <v>267937</v>
      </c>
    </row>
    <row r="132" spans="1:2">
      <c r="A132" s="2" t="s">
        <v>130</v>
      </c>
      <c r="B132">
        <v>266673</v>
      </c>
    </row>
    <row r="133" spans="1:2">
      <c r="A133" s="2" t="s">
        <v>131</v>
      </c>
      <c r="B133">
        <v>270372</v>
      </c>
    </row>
    <row r="134" spans="1:2">
      <c r="A134" s="2" t="s">
        <v>132</v>
      </c>
      <c r="B134">
        <v>162700</v>
      </c>
    </row>
    <row r="135" spans="1:2">
      <c r="A135" s="2" t="s">
        <v>133</v>
      </c>
      <c r="B135">
        <v>146300</v>
      </c>
    </row>
    <row r="136" spans="1:2">
      <c r="A136" s="2" t="s">
        <v>134</v>
      </c>
      <c r="B136">
        <v>140900</v>
      </c>
    </row>
    <row r="137" spans="1:2">
      <c r="A137" s="2" t="s">
        <v>135</v>
      </c>
      <c r="B137">
        <v>131700</v>
      </c>
    </row>
    <row r="138" spans="1:2">
      <c r="A138" s="2" t="s">
        <v>136</v>
      </c>
      <c r="B138">
        <v>125300</v>
      </c>
    </row>
    <row r="139" spans="1:2">
      <c r="A139" s="2" t="s">
        <v>137</v>
      </c>
      <c r="B139">
        <v>128400</v>
      </c>
    </row>
    <row r="140" spans="1:2">
      <c r="A140" s="2" t="s">
        <v>138</v>
      </c>
      <c r="B140">
        <v>114400</v>
      </c>
    </row>
    <row r="141" spans="1:2">
      <c r="A141" s="2" t="s">
        <v>139</v>
      </c>
      <c r="B141">
        <v>111700</v>
      </c>
    </row>
    <row r="142" spans="1:2">
      <c r="A142" s="2" t="s">
        <v>140</v>
      </c>
      <c r="B142">
        <v>109700</v>
      </c>
    </row>
    <row r="143" spans="1:2">
      <c r="A143" s="2" t="s">
        <v>141</v>
      </c>
      <c r="B143">
        <v>108900</v>
      </c>
    </row>
    <row r="144" spans="1:2">
      <c r="A144" s="2" t="s">
        <v>142</v>
      </c>
      <c r="B144">
        <v>112994</v>
      </c>
    </row>
    <row r="145" spans="1:2">
      <c r="A145" s="2" t="s">
        <v>143</v>
      </c>
      <c r="B145" s="7">
        <v>170000</v>
      </c>
    </row>
    <row r="146" spans="1:2">
      <c r="A146" s="2" t="s">
        <v>144</v>
      </c>
      <c r="B146" s="4">
        <v>166000</v>
      </c>
    </row>
    <row r="147" spans="1:2">
      <c r="A147" s="2" t="s">
        <v>145</v>
      </c>
      <c r="B147" s="4">
        <v>159000</v>
      </c>
    </row>
    <row r="148" spans="1:2">
      <c r="A148" s="2" t="s">
        <v>146</v>
      </c>
      <c r="B148" s="4">
        <v>190000</v>
      </c>
    </row>
    <row r="149" spans="1:2">
      <c r="A149" s="2" t="s">
        <v>147</v>
      </c>
      <c r="B149" s="4">
        <v>200000</v>
      </c>
    </row>
    <row r="150" spans="1:2">
      <c r="A150" s="2" t="s">
        <v>148</v>
      </c>
      <c r="B150" s="4">
        <v>194000</v>
      </c>
    </row>
    <row r="151" spans="1:2">
      <c r="A151" s="2" t="s">
        <v>149</v>
      </c>
      <c r="B151" s="4">
        <v>221000</v>
      </c>
    </row>
    <row r="152" spans="1:2">
      <c r="A152" s="2" t="s">
        <v>150</v>
      </c>
      <c r="B152" s="4">
        <v>229000</v>
      </c>
    </row>
    <row r="153" spans="1:2">
      <c r="A153" s="2" t="s">
        <v>151</v>
      </c>
      <c r="B153" s="4">
        <v>224300</v>
      </c>
    </row>
    <row r="154" spans="1:2">
      <c r="A154" s="2" t="s">
        <v>152</v>
      </c>
      <c r="B154">
        <v>288186</v>
      </c>
    </row>
    <row r="155" spans="1:2">
      <c r="A155" s="2" t="s">
        <v>153</v>
      </c>
      <c r="B155">
        <v>570060</v>
      </c>
    </row>
    <row r="156" spans="1:2">
      <c r="A156" s="2" t="s">
        <v>154</v>
      </c>
      <c r="B156" s="8">
        <v>1417</v>
      </c>
    </row>
    <row r="157" spans="1:2">
      <c r="A157" s="2" t="s">
        <v>155</v>
      </c>
      <c r="B157">
        <v>2964</v>
      </c>
    </row>
    <row r="158" spans="1:2">
      <c r="A158" s="2" t="s">
        <v>156</v>
      </c>
      <c r="B158">
        <v>5859</v>
      </c>
    </row>
    <row r="159" spans="1:2">
      <c r="A159" s="2" t="s">
        <v>157</v>
      </c>
      <c r="B159">
        <v>10161</v>
      </c>
    </row>
    <row r="160" spans="1:2">
      <c r="A160" s="2" t="s">
        <v>158</v>
      </c>
      <c r="B160">
        <v>13058</v>
      </c>
    </row>
    <row r="161" spans="1:2">
      <c r="A161" s="2" t="s">
        <v>159</v>
      </c>
      <c r="B161">
        <f>17782+12243</f>
        <v>30025</v>
      </c>
    </row>
    <row r="162" spans="1:2">
      <c r="A162" s="2" t="s">
        <v>160</v>
      </c>
      <c r="B162">
        <v>48817</v>
      </c>
    </row>
    <row r="163" spans="1:2">
      <c r="A163" s="2" t="s">
        <v>161</v>
      </c>
      <c r="B163">
        <v>48016</v>
      </c>
    </row>
    <row r="164" spans="1:2">
      <c r="A164" s="2" t="s">
        <v>162</v>
      </c>
      <c r="B164">
        <v>70757</v>
      </c>
    </row>
    <row r="165" spans="1:2">
      <c r="A165" s="2" t="s">
        <v>163</v>
      </c>
      <c r="B165">
        <v>99290</v>
      </c>
    </row>
    <row r="166" spans="1:2">
      <c r="A166" s="2" t="s">
        <v>164</v>
      </c>
      <c r="B166">
        <v>127855</v>
      </c>
    </row>
    <row r="167" spans="1:2">
      <c r="A167" s="2" t="s">
        <v>165</v>
      </c>
      <c r="B167">
        <v>501956</v>
      </c>
    </row>
    <row r="168" spans="1:2">
      <c r="A168" s="2" t="s">
        <v>166</v>
      </c>
      <c r="B168">
        <v>549763</v>
      </c>
    </row>
    <row r="169" spans="1:2">
      <c r="A169" s="2" t="s">
        <v>167</v>
      </c>
      <c r="B169">
        <v>572800</v>
      </c>
    </row>
    <row r="170" spans="1:2">
      <c r="A170" s="2" t="s">
        <v>168</v>
      </c>
      <c r="B170">
        <v>592586</v>
      </c>
    </row>
    <row r="171" spans="1:2">
      <c r="A171" s="2" t="s">
        <v>169</v>
      </c>
      <c r="B171">
        <v>610076</v>
      </c>
    </row>
    <row r="172" spans="1:2">
      <c r="A172" s="2" t="s">
        <v>170</v>
      </c>
      <c r="B172">
        <v>626715</v>
      </c>
    </row>
    <row r="173" spans="1:2">
      <c r="A173" s="2" t="s">
        <v>171</v>
      </c>
      <c r="B173">
        <v>664496</v>
      </c>
    </row>
    <row r="174" spans="1:2">
      <c r="A174" s="2" t="s">
        <v>172</v>
      </c>
      <c r="B174">
        <v>671205</v>
      </c>
    </row>
    <row r="175" spans="1:2">
      <c r="A175" s="2" t="s">
        <v>173</v>
      </c>
      <c r="B175">
        <v>662575</v>
      </c>
    </row>
    <row r="176" spans="1:2">
      <c r="A176" s="2" t="s">
        <v>174</v>
      </c>
      <c r="B176">
        <v>672789</v>
      </c>
    </row>
    <row r="177" spans="1:2">
      <c r="A177" s="2" t="s">
        <v>175</v>
      </c>
      <c r="B177">
        <v>675805</v>
      </c>
    </row>
    <row r="178" spans="1:2">
      <c r="A178" s="2" t="s">
        <v>176</v>
      </c>
      <c r="B178">
        <v>98162</v>
      </c>
    </row>
    <row r="179" spans="1:2">
      <c r="A179" s="2" t="s">
        <v>177</v>
      </c>
      <c r="B179">
        <v>106991</v>
      </c>
    </row>
    <row r="180" spans="1:2">
      <c r="A180" s="2" t="s">
        <v>178</v>
      </c>
      <c r="B180">
        <v>102930</v>
      </c>
    </row>
    <row r="181" spans="1:2">
      <c r="A181" s="2" t="s">
        <v>179</v>
      </c>
      <c r="B181">
        <v>98697</v>
      </c>
    </row>
    <row r="182" spans="1:2">
      <c r="A182" s="2" t="s">
        <v>180</v>
      </c>
      <c r="B182">
        <v>93983</v>
      </c>
    </row>
    <row r="183" spans="1:2">
      <c r="A183" s="2" t="s">
        <v>181</v>
      </c>
      <c r="B183">
        <v>89477</v>
      </c>
    </row>
    <row r="184" spans="1:2">
      <c r="A184" s="2" t="s">
        <v>182</v>
      </c>
      <c r="B184">
        <v>98652</v>
      </c>
    </row>
    <row r="185" spans="1:2">
      <c r="A185" s="2" t="s">
        <v>183</v>
      </c>
      <c r="B185">
        <v>98280</v>
      </c>
    </row>
    <row r="186" spans="1:2">
      <c r="A186" s="2" t="s">
        <v>184</v>
      </c>
      <c r="B186">
        <v>91843</v>
      </c>
    </row>
    <row r="187" spans="1:2">
      <c r="A187" s="2" t="s">
        <v>185</v>
      </c>
      <c r="B187">
        <v>89195</v>
      </c>
    </row>
    <row r="188" spans="1:2">
      <c r="A188" s="2" t="s">
        <v>186</v>
      </c>
      <c r="B188">
        <v>94921</v>
      </c>
    </row>
    <row r="189" spans="1:2">
      <c r="A189" s="2" t="s">
        <v>187</v>
      </c>
      <c r="B189">
        <v>37800</v>
      </c>
    </row>
    <row r="190" spans="1:2">
      <c r="A190" s="2" t="s">
        <v>188</v>
      </c>
      <c r="B190">
        <v>40500</v>
      </c>
    </row>
    <row r="191" spans="1:2">
      <c r="A191" s="2" t="s">
        <v>189</v>
      </c>
      <c r="B191">
        <v>41579</v>
      </c>
    </row>
    <row r="192" spans="1:2">
      <c r="A192" s="2" t="s">
        <v>190</v>
      </c>
      <c r="B192">
        <v>42968</v>
      </c>
    </row>
    <row r="193" spans="1:2">
      <c r="A193" s="2" t="s">
        <v>191</v>
      </c>
      <c r="B193">
        <v>45720</v>
      </c>
    </row>
    <row r="194" spans="1:2">
      <c r="A194" s="2" t="s">
        <v>192</v>
      </c>
      <c r="B194">
        <v>60712</v>
      </c>
    </row>
    <row r="195" spans="1:2">
      <c r="A195" s="2" t="s">
        <v>193</v>
      </c>
      <c r="B195">
        <v>124846</v>
      </c>
    </row>
    <row r="196" spans="1:2">
      <c r="A196" s="2" t="s">
        <v>194</v>
      </c>
      <c r="B196">
        <v>131426</v>
      </c>
    </row>
    <row r="197" spans="1:2">
      <c r="A197" s="2" t="s">
        <v>195</v>
      </c>
      <c r="B197">
        <v>125764</v>
      </c>
    </row>
    <row r="198" spans="1:2">
      <c r="A198" s="2" t="s">
        <v>196</v>
      </c>
      <c r="B198">
        <v>128928</v>
      </c>
    </row>
    <row r="199" spans="1:2">
      <c r="A199" s="2" t="s">
        <v>197</v>
      </c>
      <c r="B199">
        <v>131517</v>
      </c>
    </row>
    <row r="200" spans="1:2">
      <c r="A200" s="2" t="s">
        <v>198</v>
      </c>
      <c r="B200">
        <v>961000</v>
      </c>
    </row>
    <row r="201" spans="1:2">
      <c r="A201" s="2" t="s">
        <v>199</v>
      </c>
      <c r="B201">
        <v>1290000</v>
      </c>
    </row>
    <row r="202" spans="1:2">
      <c r="A202" s="2" t="s">
        <v>200</v>
      </c>
      <c r="B202">
        <v>1110000</v>
      </c>
    </row>
    <row r="203" spans="1:2">
      <c r="A203" s="2" t="s">
        <v>201</v>
      </c>
      <c r="B203">
        <v>1060000</v>
      </c>
    </row>
    <row r="204" spans="1:2">
      <c r="A204" s="2" t="s">
        <v>202</v>
      </c>
      <c r="B204">
        <v>1060000</v>
      </c>
    </row>
    <row r="205" spans="1:2">
      <c r="A205" s="2" t="s">
        <v>203</v>
      </c>
      <c r="B205">
        <v>726772</v>
      </c>
    </row>
    <row r="206" spans="1:2">
      <c r="A206" s="2" t="s">
        <v>204</v>
      </c>
      <c r="B206">
        <v>667680</v>
      </c>
    </row>
    <row r="207" spans="1:2">
      <c r="A207" s="2" t="s">
        <v>205</v>
      </c>
      <c r="B207">
        <v>757404</v>
      </c>
    </row>
    <row r="208" spans="1:2">
      <c r="A208" s="2" t="s">
        <v>206</v>
      </c>
      <c r="B208">
        <v>878429</v>
      </c>
    </row>
    <row r="209" spans="1:2">
      <c r="A209" s="2" t="s">
        <v>207</v>
      </c>
      <c r="B209">
        <v>826608</v>
      </c>
    </row>
    <row r="210" spans="1:2">
      <c r="A210" s="2" t="s">
        <v>208</v>
      </c>
      <c r="B210">
        <v>767062</v>
      </c>
    </row>
    <row r="211" spans="1:2">
      <c r="A211" s="2" t="s">
        <v>209</v>
      </c>
      <c r="B211">
        <v>325905</v>
      </c>
    </row>
    <row r="212" spans="1:2">
      <c r="A212" s="2" t="s">
        <v>210</v>
      </c>
      <c r="B212">
        <v>333498</v>
      </c>
    </row>
    <row r="213" spans="1:2">
      <c r="A213" s="2" t="s">
        <v>211</v>
      </c>
      <c r="B213">
        <v>338875</v>
      </c>
    </row>
    <row r="214" spans="1:2">
      <c r="A214" s="2" t="s">
        <v>212</v>
      </c>
      <c r="B214">
        <v>344109</v>
      </c>
    </row>
    <row r="215" spans="1:2">
      <c r="A215" s="2" t="s">
        <v>213</v>
      </c>
      <c r="B215">
        <v>348877</v>
      </c>
    </row>
    <row r="216" spans="1:2">
      <c r="A216" s="2" t="s">
        <v>214</v>
      </c>
      <c r="B216">
        <v>364445</v>
      </c>
    </row>
    <row r="217" spans="1:2">
      <c r="A217" s="2" t="s">
        <v>215</v>
      </c>
      <c r="B217">
        <v>370870</v>
      </c>
    </row>
    <row r="218" spans="1:2">
      <c r="A218" s="2" t="s">
        <v>216</v>
      </c>
      <c r="B218">
        <v>359542</v>
      </c>
    </row>
    <row r="219" spans="1:2">
      <c r="A219" s="2" t="s">
        <v>217</v>
      </c>
      <c r="B219">
        <v>366283</v>
      </c>
    </row>
    <row r="220" spans="1:2">
      <c r="A220" s="2" t="s">
        <v>218</v>
      </c>
      <c r="B220">
        <v>372817</v>
      </c>
    </row>
    <row r="221" spans="1:2">
      <c r="A221" s="2" t="s">
        <v>219</v>
      </c>
      <c r="B221">
        <v>375235</v>
      </c>
    </row>
    <row r="222" spans="1:2">
      <c r="A222" s="2" t="s">
        <v>220</v>
      </c>
      <c r="B222">
        <v>108275</v>
      </c>
    </row>
    <row r="223" spans="1:2">
      <c r="A223" s="2" t="s">
        <v>221</v>
      </c>
      <c r="B223">
        <v>118975</v>
      </c>
    </row>
    <row r="224" spans="1:2">
      <c r="A224" s="2" t="s">
        <v>222</v>
      </c>
      <c r="B224">
        <v>125150</v>
      </c>
    </row>
    <row r="225" spans="1:2">
      <c r="A225" s="2" t="s">
        <v>223</v>
      </c>
      <c r="B225">
        <v>131225</v>
      </c>
    </row>
    <row r="226" spans="1:2">
      <c r="A226" s="2" t="s">
        <v>224</v>
      </c>
      <c r="B226">
        <v>128975</v>
      </c>
    </row>
    <row r="227" spans="1:2">
      <c r="A227" s="2" t="s">
        <v>225</v>
      </c>
      <c r="B227">
        <v>155450</v>
      </c>
    </row>
    <row r="228" spans="1:2">
      <c r="A228" s="2" t="s">
        <v>226</v>
      </c>
      <c r="B228">
        <v>174000</v>
      </c>
    </row>
    <row r="229" spans="1:2">
      <c r="A229" s="2" t="s">
        <v>227</v>
      </c>
      <c r="B229">
        <v>165000</v>
      </c>
    </row>
    <row r="230" spans="1:2">
      <c r="A230" s="2" t="s">
        <v>228</v>
      </c>
      <c r="B230">
        <v>158000</v>
      </c>
    </row>
    <row r="231" spans="1:2">
      <c r="A231" s="2" t="s">
        <v>229</v>
      </c>
      <c r="B231">
        <v>158000</v>
      </c>
    </row>
    <row r="232" spans="1:2">
      <c r="A232" s="2" t="s">
        <v>230</v>
      </c>
      <c r="B232">
        <v>158000</v>
      </c>
    </row>
    <row r="233" spans="1:2">
      <c r="A233" s="2" t="s">
        <v>231</v>
      </c>
      <c r="B233" s="4">
        <v>114700</v>
      </c>
    </row>
    <row r="234" spans="1:2">
      <c r="A234" s="2" t="s">
        <v>232</v>
      </c>
      <c r="B234" s="4">
        <v>110300</v>
      </c>
    </row>
    <row r="235" spans="1:2">
      <c r="A235" s="2" t="s">
        <v>233</v>
      </c>
      <c r="B235" s="4">
        <v>103300</v>
      </c>
    </row>
    <row r="236" spans="1:2">
      <c r="A236" s="2" t="s">
        <v>234</v>
      </c>
      <c r="B236" s="4">
        <v>109900</v>
      </c>
    </row>
    <row r="237" spans="1:2">
      <c r="A237" s="2" t="s">
        <v>235</v>
      </c>
      <c r="B237" s="4">
        <v>117000</v>
      </c>
    </row>
    <row r="238" spans="1:2">
      <c r="A238" s="2" t="s">
        <v>236</v>
      </c>
      <c r="B238" s="4">
        <v>127000</v>
      </c>
    </row>
    <row r="239" spans="1:2">
      <c r="A239" s="2" t="s">
        <v>237</v>
      </c>
      <c r="B239" s="4">
        <v>139000</v>
      </c>
    </row>
    <row r="240" spans="1:2">
      <c r="A240" s="2" t="s">
        <v>238</v>
      </c>
      <c r="B240" s="4">
        <v>145000</v>
      </c>
    </row>
    <row r="241" spans="1:2">
      <c r="A241" s="2" t="s">
        <v>278</v>
      </c>
      <c r="B241" s="4">
        <v>143000</v>
      </c>
    </row>
    <row r="242" spans="1:2">
      <c r="A242" s="2" t="s">
        <v>240</v>
      </c>
      <c r="B242" s="4">
        <v>141000</v>
      </c>
    </row>
    <row r="243" spans="1:2">
      <c r="A243" s="2" t="s">
        <v>241</v>
      </c>
      <c r="B243" s="4">
        <v>151000</v>
      </c>
    </row>
    <row r="244" spans="1:2">
      <c r="A244" s="2" t="s">
        <v>242</v>
      </c>
      <c r="B244" s="4">
        <v>155000</v>
      </c>
    </row>
    <row r="245" spans="1:2">
      <c r="A245" s="2" t="s">
        <v>243</v>
      </c>
      <c r="B245" s="4">
        <v>160000</v>
      </c>
    </row>
    <row r="246" spans="1:2">
      <c r="A246" s="2" t="s">
        <v>244</v>
      </c>
      <c r="B246" s="4">
        <v>21200</v>
      </c>
    </row>
    <row r="247" spans="1:2">
      <c r="A247" s="2" t="s">
        <v>245</v>
      </c>
      <c r="B247" s="4">
        <v>26600</v>
      </c>
    </row>
    <row r="248" spans="1:2">
      <c r="A248" s="2" t="s">
        <v>246</v>
      </c>
      <c r="B248">
        <v>31000</v>
      </c>
    </row>
    <row r="249" spans="1:2">
      <c r="A249" s="2" t="s">
        <v>247</v>
      </c>
      <c r="B249">
        <v>31300</v>
      </c>
    </row>
    <row r="250" spans="1:2">
      <c r="A250" s="2" t="s">
        <v>248</v>
      </c>
      <c r="B250">
        <v>33000</v>
      </c>
    </row>
    <row r="251" spans="1:2">
      <c r="A251" s="2" t="s">
        <v>249</v>
      </c>
      <c r="B251">
        <v>30500</v>
      </c>
    </row>
    <row r="252" spans="1:2">
      <c r="A252" s="2" t="s">
        <v>279</v>
      </c>
      <c r="B252">
        <v>35400</v>
      </c>
    </row>
    <row r="253" spans="1:2">
      <c r="A253" s="2" t="s">
        <v>251</v>
      </c>
      <c r="B253">
        <v>37000</v>
      </c>
    </row>
    <row r="254" spans="1:2">
      <c r="A254" s="2" t="s">
        <v>252</v>
      </c>
      <c r="B254">
        <v>41000</v>
      </c>
    </row>
    <row r="255" spans="1:2">
      <c r="A255" s="2" t="s">
        <v>253</v>
      </c>
      <c r="B255">
        <v>45000</v>
      </c>
    </row>
    <row r="256" spans="1:2">
      <c r="A256" s="2" t="s">
        <v>254</v>
      </c>
      <c r="B256">
        <v>51000</v>
      </c>
    </row>
    <row r="257" spans="1:2">
      <c r="A257" s="2" t="s">
        <v>255</v>
      </c>
      <c r="B257" s="8">
        <v>16082</v>
      </c>
    </row>
    <row r="258" spans="1:2">
      <c r="A258" s="2" t="s">
        <v>256</v>
      </c>
      <c r="B258" s="8">
        <v>20877</v>
      </c>
    </row>
    <row r="259" spans="1:2">
      <c r="A259" s="2" t="s">
        <v>257</v>
      </c>
      <c r="B259" s="8">
        <v>31676</v>
      </c>
    </row>
    <row r="260" spans="1:2">
      <c r="A260" s="2" t="s">
        <v>258</v>
      </c>
      <c r="B260" s="8">
        <v>46391</v>
      </c>
    </row>
    <row r="261" spans="1:2">
      <c r="A261" s="2" t="s">
        <v>259</v>
      </c>
      <c r="B261" s="8">
        <v>41467</v>
      </c>
    </row>
    <row r="262" spans="1:2">
      <c r="A262" s="2" t="s">
        <v>260</v>
      </c>
      <c r="B262" s="8">
        <v>45887</v>
      </c>
    </row>
    <row r="263" spans="1:2">
      <c r="A263" s="2" t="s">
        <v>280</v>
      </c>
      <c r="B263" s="8">
        <v>42267</v>
      </c>
    </row>
    <row r="264" spans="1:2">
      <c r="A264" s="2" t="s">
        <v>262</v>
      </c>
      <c r="B264" s="8">
        <v>37779</v>
      </c>
    </row>
    <row r="265" spans="1:2">
      <c r="A265" s="2" t="s">
        <v>263</v>
      </c>
      <c r="B265" s="8">
        <v>41000</v>
      </c>
    </row>
    <row r="266" spans="1:2">
      <c r="A266" s="2" t="s">
        <v>264</v>
      </c>
      <c r="B266" s="8">
        <v>45500</v>
      </c>
    </row>
    <row r="267" spans="1:2">
      <c r="A267" s="2" t="s">
        <v>265</v>
      </c>
      <c r="B267" s="8">
        <v>41300</v>
      </c>
    </row>
    <row r="268" spans="1:2">
      <c r="A268" s="2" t="s">
        <v>266</v>
      </c>
      <c r="B268" s="8">
        <v>34759</v>
      </c>
    </row>
    <row r="269" spans="1:2">
      <c r="A269" s="2" t="s">
        <v>267</v>
      </c>
      <c r="B269" s="8">
        <v>34151</v>
      </c>
    </row>
    <row r="270" spans="1:2">
      <c r="A270" s="2" t="s">
        <v>268</v>
      </c>
      <c r="B270" s="8">
        <v>32209</v>
      </c>
    </row>
    <row r="271" spans="1:2">
      <c r="A271" s="2" t="s">
        <v>269</v>
      </c>
      <c r="B271" s="8">
        <v>31003</v>
      </c>
    </row>
    <row r="272" spans="1:2">
      <c r="A272" s="2" t="s">
        <v>270</v>
      </c>
      <c r="B272" s="8">
        <v>29977</v>
      </c>
    </row>
    <row r="273" spans="1:2">
      <c r="A273" s="2" t="s">
        <v>271</v>
      </c>
      <c r="B273" s="8">
        <v>29865</v>
      </c>
    </row>
    <row r="274" spans="1:2">
      <c r="A274" s="2" t="s">
        <v>281</v>
      </c>
      <c r="B274" s="8">
        <v>29888</v>
      </c>
    </row>
    <row r="275" spans="1:2">
      <c r="A275" s="2" t="s">
        <v>273</v>
      </c>
      <c r="B275" s="8">
        <v>29768</v>
      </c>
    </row>
    <row r="276" spans="1:2">
      <c r="A276" s="2" t="s">
        <v>274</v>
      </c>
      <c r="B276" s="8">
        <v>30000</v>
      </c>
    </row>
    <row r="277" spans="1:2">
      <c r="A277" s="2" t="s">
        <v>275</v>
      </c>
      <c r="B277" s="8">
        <v>31000</v>
      </c>
    </row>
    <row r="278" spans="1:2">
      <c r="A278" s="2" t="s">
        <v>276</v>
      </c>
      <c r="B278" s="8">
        <v>33000</v>
      </c>
    </row>
  </sheetData>
  <phoneticPr fontId="2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2388D-58E8-4DA0-8AB4-D7072143D06F}">
  <sheetPr codeName="Hoja6"/>
  <dimension ref="A1:B278"/>
  <sheetViews>
    <sheetView topLeftCell="A257" workbookViewId="0">
      <selection activeCell="G261" sqref="G261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f>Utilidad_Millones!B2/Activos_Millones!B2*100</f>
        <v>4.2351918837770972</v>
      </c>
    </row>
    <row r="3" spans="1:2">
      <c r="A3" s="2" t="s">
        <v>1</v>
      </c>
      <c r="B3">
        <f>Utilidad_Millones!B3/Activos_Millones!B3*100</f>
        <v>3.7680245517092184</v>
      </c>
    </row>
    <row r="4" spans="1:2">
      <c r="A4" s="2" t="s">
        <v>2</v>
      </c>
      <c r="B4">
        <f>Utilidad_Millones!B4/Activos_Millones!B4*100</f>
        <v>3.7004690432503824</v>
      </c>
    </row>
    <row r="5" spans="1:2">
      <c r="A5" s="2" t="s">
        <v>3</v>
      </c>
      <c r="B5">
        <f>Utilidad_Millones!B5/Activos_Millones!B5*100</f>
        <v>4.1063644056711306</v>
      </c>
    </row>
    <row r="6" spans="1:2">
      <c r="A6" s="2" t="s">
        <v>4</v>
      </c>
      <c r="B6">
        <f>Utilidad_Millones!B6/Activos_Millones!B6*100</f>
        <v>3.7777637563537554</v>
      </c>
    </row>
    <row r="7" spans="1:2">
      <c r="A7" s="2" t="s">
        <v>5</v>
      </c>
      <c r="B7">
        <f>Utilidad_Millones!B7/Activos_Millones!B7*100</f>
        <v>3.8169413170544759</v>
      </c>
    </row>
    <row r="8" spans="1:2">
      <c r="A8" s="2" t="s">
        <v>277</v>
      </c>
      <c r="B8">
        <f>Utilidad_Millones!B8/Activos_Millones!B8*100</f>
        <v>3.4486553737199728</v>
      </c>
    </row>
    <row r="9" spans="1:2">
      <c r="A9" s="2" t="s">
        <v>7</v>
      </c>
      <c r="B9">
        <f>Utilidad_Millones!B9/Activos_Millones!B9*100</f>
        <v>2.149364669183349</v>
      </c>
    </row>
    <row r="10" spans="1:2">
      <c r="A10" s="2" t="s">
        <v>8</v>
      </c>
      <c r="B10">
        <f>Utilidad_Millones!B10/Activos_Millones!B10*100</f>
        <v>1.6222754172133778</v>
      </c>
    </row>
    <row r="11" spans="1:2">
      <c r="A11" s="2" t="s">
        <v>9</v>
      </c>
      <c r="B11">
        <f>Utilidad_Millones!B11/Activos_Millones!B11*100</f>
        <v>5.6096396474413748</v>
      </c>
    </row>
    <row r="12" spans="1:2">
      <c r="A12" s="2" t="s">
        <v>10</v>
      </c>
      <c r="B12">
        <f>Utilidad_Millones!B12/Activos_Millones!B12*100</f>
        <v>7.1619539226477391</v>
      </c>
    </row>
    <row r="13" spans="1:2">
      <c r="A13" s="2" t="s">
        <v>11</v>
      </c>
      <c r="B13">
        <v>5.1018999999999997</v>
      </c>
    </row>
    <row r="14" spans="1:2">
      <c r="A14" s="2" t="s">
        <v>12</v>
      </c>
      <c r="B14">
        <v>6.7168999999999999</v>
      </c>
    </row>
    <row r="15" spans="1:2">
      <c r="A15" s="2" t="s">
        <v>13</v>
      </c>
      <c r="B15">
        <v>6.9019000000000004</v>
      </c>
    </row>
    <row r="16" spans="1:2">
      <c r="A16" s="2" t="s">
        <v>14</v>
      </c>
      <c r="B16">
        <v>8.6115104374490983</v>
      </c>
    </row>
    <row r="17" spans="1:2">
      <c r="A17" s="2" t="s">
        <v>15</v>
      </c>
      <c r="B17">
        <v>8.5</v>
      </c>
    </row>
    <row r="18" spans="1:2">
      <c r="A18" s="2" t="s">
        <v>16</v>
      </c>
      <c r="B18">
        <v>8.1</v>
      </c>
    </row>
    <row r="19" spans="1:2">
      <c r="A19" s="2" t="s">
        <v>17</v>
      </c>
      <c r="B19">
        <v>7.4</v>
      </c>
    </row>
    <row r="20" spans="1:2">
      <c r="A20" s="2" t="s">
        <v>18</v>
      </c>
      <c r="B20">
        <v>-2.9</v>
      </c>
    </row>
    <row r="21" spans="1:2">
      <c r="A21" s="2" t="s">
        <v>19</v>
      </c>
      <c r="B21">
        <v>-2.2999999999999998</v>
      </c>
    </row>
    <row r="22" spans="1:2">
      <c r="A22" s="2" t="s">
        <v>20</v>
      </c>
      <c r="B22">
        <v>4.2</v>
      </c>
    </row>
    <row r="23" spans="1:2">
      <c r="A23" s="2" t="s">
        <v>21</v>
      </c>
      <c r="B23">
        <v>0.2</v>
      </c>
    </row>
    <row r="24" spans="1:2">
      <c r="A24" s="2" t="s">
        <v>22</v>
      </c>
      <c r="B24">
        <v>2.6019000000000001</v>
      </c>
    </row>
    <row r="25" spans="1:2">
      <c r="A25" s="2" t="s">
        <v>23</v>
      </c>
      <c r="B25">
        <v>5.1684999999999999</v>
      </c>
    </row>
    <row r="26" spans="1:2">
      <c r="A26" s="2" t="s">
        <v>24</v>
      </c>
      <c r="B26">
        <v>6.6018999999999997</v>
      </c>
    </row>
    <row r="27" spans="1:2">
      <c r="A27" s="2" t="s">
        <v>25</v>
      </c>
      <c r="B27">
        <v>5.3336117403007703</v>
      </c>
    </row>
    <row r="28" spans="1:2">
      <c r="A28" s="2" t="s">
        <v>26</v>
      </c>
      <c r="B28">
        <v>4.5</v>
      </c>
    </row>
    <row r="29" spans="1:2">
      <c r="A29" s="2" t="s">
        <v>27</v>
      </c>
      <c r="B29">
        <v>5.0999999999999996</v>
      </c>
    </row>
    <row r="30" spans="1:2">
      <c r="A30" s="2" t="s">
        <v>28</v>
      </c>
      <c r="B30">
        <v>4.4000000000000004</v>
      </c>
    </row>
    <row r="31" spans="1:2">
      <c r="A31" s="2" t="s">
        <v>29</v>
      </c>
      <c r="B31">
        <v>1.2</v>
      </c>
    </row>
    <row r="32" spans="1:2">
      <c r="A32" s="2" t="s">
        <v>30</v>
      </c>
      <c r="B32">
        <v>1.9</v>
      </c>
    </row>
    <row r="33" spans="1:2">
      <c r="A33" s="2" t="s">
        <v>31</v>
      </c>
      <c r="B33">
        <v>3.8</v>
      </c>
    </row>
    <row r="34" spans="1:2">
      <c r="A34" s="2" t="s">
        <v>32</v>
      </c>
      <c r="B34">
        <v>4.2</v>
      </c>
    </row>
    <row r="35" spans="1:2">
      <c r="A35" s="2" t="s">
        <v>33</v>
      </c>
      <c r="B35">
        <v>11.3019</v>
      </c>
    </row>
    <row r="36" spans="1:2">
      <c r="A36" s="2" t="s">
        <v>34</v>
      </c>
      <c r="B36">
        <v>2.9729000000000001</v>
      </c>
    </row>
    <row r="37" spans="1:2">
      <c r="A37" s="2" t="s">
        <v>35</v>
      </c>
      <c r="B37">
        <v>3.5019</v>
      </c>
    </row>
    <row r="38" spans="1:2">
      <c r="A38" s="2" t="s">
        <v>36</v>
      </c>
      <c r="B38">
        <v>1.5283392558277824</v>
      </c>
    </row>
    <row r="39" spans="1:2">
      <c r="A39" s="2" t="s">
        <v>37</v>
      </c>
      <c r="B39">
        <v>3.3</v>
      </c>
    </row>
    <row r="40" spans="1:2">
      <c r="A40" s="2" t="s">
        <v>38</v>
      </c>
      <c r="B40">
        <v>1.9</v>
      </c>
    </row>
    <row r="41" spans="1:2">
      <c r="A41" s="2" t="s">
        <v>39</v>
      </c>
      <c r="B41">
        <v>1.4</v>
      </c>
    </row>
    <row r="42" spans="1:2">
      <c r="A42" s="2" t="s">
        <v>40</v>
      </c>
      <c r="B42">
        <v>0</v>
      </c>
    </row>
    <row r="43" spans="1:2">
      <c r="A43" s="2" t="s">
        <v>41</v>
      </c>
      <c r="B43">
        <v>-0.5</v>
      </c>
    </row>
    <row r="44" spans="1:2">
      <c r="A44" s="2" t="s">
        <v>42</v>
      </c>
      <c r="B44">
        <v>7</v>
      </c>
    </row>
    <row r="45" spans="1:2">
      <c r="A45" s="2" t="s">
        <v>43</v>
      </c>
      <c r="B45">
        <v>-0.8</v>
      </c>
    </row>
    <row r="46" spans="1:2">
      <c r="A46" s="2" t="s">
        <v>44</v>
      </c>
      <c r="B46">
        <v>6.4019000000000004</v>
      </c>
    </row>
    <row r="47" spans="1:2">
      <c r="A47" s="2" t="s">
        <v>45</v>
      </c>
      <c r="B47">
        <v>4.1413000000000002</v>
      </c>
    </row>
    <row r="48" spans="1:2">
      <c r="A48" s="2" t="s">
        <v>46</v>
      </c>
      <c r="B48">
        <v>3.2019000000000002</v>
      </c>
    </row>
    <row r="49" spans="1:2">
      <c r="A49" s="2" t="s">
        <v>47</v>
      </c>
      <c r="B49">
        <v>2.2225724207410074</v>
      </c>
    </row>
    <row r="50" spans="1:2">
      <c r="A50" s="2" t="s">
        <v>48</v>
      </c>
      <c r="B50">
        <v>5</v>
      </c>
    </row>
    <row r="51" spans="1:2">
      <c r="A51" s="2" t="s">
        <v>49</v>
      </c>
      <c r="B51">
        <v>4.3</v>
      </c>
    </row>
    <row r="52" spans="1:2">
      <c r="A52" s="2" t="s">
        <v>50</v>
      </c>
      <c r="B52">
        <v>3.5</v>
      </c>
    </row>
    <row r="53" spans="1:2">
      <c r="A53" s="2" t="s">
        <v>51</v>
      </c>
      <c r="B53">
        <v>3</v>
      </c>
    </row>
    <row r="54" spans="1:2">
      <c r="A54" s="2" t="s">
        <v>52</v>
      </c>
      <c r="B54">
        <v>2.7</v>
      </c>
    </row>
    <row r="55" spans="1:2">
      <c r="A55" s="2" t="s">
        <v>53</v>
      </c>
      <c r="B55">
        <v>4.0999999999999996</v>
      </c>
    </row>
    <row r="56" spans="1:2">
      <c r="A56" s="2" t="s">
        <v>54</v>
      </c>
      <c r="B56">
        <v>3.8</v>
      </c>
    </row>
    <row r="57" spans="1:2">
      <c r="A57" s="2" t="s">
        <v>55</v>
      </c>
      <c r="B57">
        <v>3.8018999999999998</v>
      </c>
    </row>
    <row r="58" spans="1:2">
      <c r="A58" s="2" t="s">
        <v>56</v>
      </c>
      <c r="B58">
        <v>2.0232000000000001</v>
      </c>
    </row>
    <row r="59" spans="1:2">
      <c r="A59" s="2" t="s">
        <v>57</v>
      </c>
      <c r="B59">
        <v>2.5019</v>
      </c>
    </row>
    <row r="60" spans="1:2">
      <c r="A60" s="2" t="s">
        <v>58</v>
      </c>
      <c r="B60">
        <v>2.1231005568217434</v>
      </c>
    </row>
    <row r="61" spans="1:2">
      <c r="A61" s="2" t="s">
        <v>59</v>
      </c>
      <c r="B61">
        <v>1.3</v>
      </c>
    </row>
    <row r="62" spans="1:2">
      <c r="A62" s="2" t="s">
        <v>60</v>
      </c>
      <c r="B62">
        <v>2.5</v>
      </c>
    </row>
    <row r="63" spans="1:2">
      <c r="A63" s="2" t="s">
        <v>61</v>
      </c>
      <c r="B63">
        <v>2.2999999999999998</v>
      </c>
    </row>
    <row r="64" spans="1:2">
      <c r="A64" s="2" t="s">
        <v>62</v>
      </c>
      <c r="B64">
        <v>0.9</v>
      </c>
    </row>
    <row r="65" spans="1:2">
      <c r="A65" s="2" t="s">
        <v>63</v>
      </c>
      <c r="B65">
        <v>4.4000000000000004</v>
      </c>
    </row>
    <row r="66" spans="1:2">
      <c r="A66" s="2" t="s">
        <v>64</v>
      </c>
      <c r="B66">
        <v>4.5</v>
      </c>
    </row>
    <row r="67" spans="1:2">
      <c r="A67" s="2" t="s">
        <v>65</v>
      </c>
      <c r="B67">
        <v>5.0999999999999996</v>
      </c>
    </row>
    <row r="68" spans="1:2">
      <c r="A68" s="2" t="s">
        <v>66</v>
      </c>
      <c r="B68">
        <v>5.2019000000000002</v>
      </c>
    </row>
    <row r="69" spans="1:2">
      <c r="A69" s="2" t="s">
        <v>67</v>
      </c>
      <c r="B69">
        <v>6.9911000000000003</v>
      </c>
    </row>
    <row r="70" spans="1:2">
      <c r="A70" s="2" t="s">
        <v>68</v>
      </c>
      <c r="B70">
        <v>8.6019000000000005</v>
      </c>
    </row>
    <row r="71" spans="1:2">
      <c r="A71" s="2" t="s">
        <v>69</v>
      </c>
      <c r="B71">
        <v>9.3265274691425919</v>
      </c>
    </row>
    <row r="72" spans="1:2">
      <c r="A72" s="2" t="s">
        <v>70</v>
      </c>
      <c r="B72">
        <v>9.6999999999999993</v>
      </c>
    </row>
    <row r="73" spans="1:2">
      <c r="A73" s="2" t="s">
        <v>71</v>
      </c>
      <c r="B73">
        <v>8.9</v>
      </c>
    </row>
    <row r="74" spans="1:2">
      <c r="A74" s="2" t="s">
        <v>72</v>
      </c>
      <c r="B74">
        <v>11.7</v>
      </c>
    </row>
    <row r="75" spans="1:2">
      <c r="A75" s="2" t="s">
        <v>73</v>
      </c>
      <c r="B75">
        <v>10.5</v>
      </c>
    </row>
    <row r="76" spans="1:2">
      <c r="A76" s="2" t="s">
        <v>74</v>
      </c>
      <c r="B76">
        <v>7.4</v>
      </c>
    </row>
    <row r="77" spans="1:2">
      <c r="A77" s="2" t="s">
        <v>75</v>
      </c>
      <c r="B77">
        <v>8.6</v>
      </c>
    </row>
    <row r="78" spans="1:2">
      <c r="A78" s="2" t="s">
        <v>76</v>
      </c>
      <c r="B78">
        <v>8</v>
      </c>
    </row>
    <row r="79" spans="1:2">
      <c r="A79" s="2" t="s">
        <v>77</v>
      </c>
      <c r="B79">
        <v>11.7019</v>
      </c>
    </row>
    <row r="80" spans="1:2">
      <c r="A80" s="2" t="s">
        <v>78</v>
      </c>
      <c r="B80">
        <v>11.337300000000001</v>
      </c>
    </row>
    <row r="81" spans="1:2">
      <c r="A81" s="2" t="s">
        <v>79</v>
      </c>
      <c r="B81">
        <v>10.2019</v>
      </c>
    </row>
    <row r="82" spans="1:2">
      <c r="A82" s="2" t="s">
        <v>80</v>
      </c>
      <c r="B82">
        <v>7.6129477948638291</v>
      </c>
    </row>
    <row r="83" spans="1:2">
      <c r="A83" s="2" t="s">
        <v>81</v>
      </c>
      <c r="B83">
        <v>5.9</v>
      </c>
    </row>
    <row r="84" spans="1:2">
      <c r="A84" s="2" t="s">
        <v>82</v>
      </c>
      <c r="B84">
        <v>5.6</v>
      </c>
    </row>
    <row r="85" spans="1:2">
      <c r="A85" s="2" t="s">
        <v>83</v>
      </c>
      <c r="B85">
        <v>2.2999999999999998</v>
      </c>
    </row>
    <row r="86" spans="1:2">
      <c r="A86" s="2" t="s">
        <v>84</v>
      </c>
      <c r="B86">
        <v>3.3</v>
      </c>
    </row>
    <row r="87" spans="1:2">
      <c r="A87" s="2" t="s">
        <v>85</v>
      </c>
      <c r="B87">
        <v>2.2999999999999998</v>
      </c>
    </row>
    <row r="88" spans="1:2">
      <c r="A88" s="2" t="s">
        <v>86</v>
      </c>
      <c r="B88">
        <v>7.4</v>
      </c>
    </row>
    <row r="89" spans="1:2">
      <c r="A89" s="2" t="s">
        <v>87</v>
      </c>
      <c r="B89">
        <v>7.2</v>
      </c>
    </row>
    <row r="90" spans="1:2">
      <c r="A90" s="2" t="s">
        <v>88</v>
      </c>
      <c r="B90">
        <v>-1.5001</v>
      </c>
    </row>
    <row r="91" spans="1:2">
      <c r="A91" s="2" t="s">
        <v>89</v>
      </c>
      <c r="B91">
        <v>0.20169999999999999</v>
      </c>
    </row>
    <row r="92" spans="1:2">
      <c r="A92" s="2" t="s">
        <v>90</v>
      </c>
      <c r="B92">
        <v>0.50190000000000001</v>
      </c>
    </row>
    <row r="93" spans="1:2">
      <c r="A93" s="2" t="s">
        <v>91</v>
      </c>
      <c r="B93">
        <v>1.1245449047116447</v>
      </c>
    </row>
    <row r="94" spans="1:2">
      <c r="A94" s="2" t="s">
        <v>92</v>
      </c>
      <c r="B94">
        <v>0.4</v>
      </c>
    </row>
    <row r="95" spans="1:2">
      <c r="A95" s="2" t="s">
        <v>93</v>
      </c>
      <c r="B95">
        <v>0.2</v>
      </c>
    </row>
    <row r="96" spans="1:2">
      <c r="A96" s="2" t="s">
        <v>94</v>
      </c>
      <c r="B96">
        <v>2.8</v>
      </c>
    </row>
    <row r="97" spans="1:2">
      <c r="A97" s="2" t="s">
        <v>95</v>
      </c>
      <c r="B97">
        <v>0.1</v>
      </c>
    </row>
    <row r="98" spans="1:2">
      <c r="A98" s="2" t="s">
        <v>96</v>
      </c>
      <c r="B98">
        <v>3.8</v>
      </c>
    </row>
    <row r="99" spans="1:2">
      <c r="A99" s="2" t="s">
        <v>97</v>
      </c>
      <c r="B99">
        <v>2</v>
      </c>
    </row>
    <row r="100" spans="1:2">
      <c r="A100" s="2" t="s">
        <v>98</v>
      </c>
      <c r="B100">
        <v>2.1</v>
      </c>
    </row>
    <row r="101" spans="1:2">
      <c r="A101" s="2" t="s">
        <v>99</v>
      </c>
      <c r="B101">
        <v>3.2019000000000002</v>
      </c>
    </row>
    <row r="102" spans="1:2">
      <c r="A102" s="2" t="s">
        <v>100</v>
      </c>
      <c r="B102">
        <v>3.0272000000000001</v>
      </c>
    </row>
    <row r="103" spans="1:2">
      <c r="A103" s="2" t="s">
        <v>101</v>
      </c>
      <c r="B103">
        <v>2.7019000000000002</v>
      </c>
    </row>
    <row r="104" spans="1:2">
      <c r="A104" s="2" t="s">
        <v>102</v>
      </c>
      <c r="B104">
        <v>2.9276037643735169</v>
      </c>
    </row>
    <row r="105" spans="1:2">
      <c r="A105" s="2" t="s">
        <v>103</v>
      </c>
      <c r="B105">
        <v>2.8</v>
      </c>
    </row>
    <row r="106" spans="1:2">
      <c r="A106" s="2" t="s">
        <v>104</v>
      </c>
      <c r="B106">
        <v>3.7</v>
      </c>
    </row>
    <row r="107" spans="1:2">
      <c r="A107" s="2" t="s">
        <v>105</v>
      </c>
      <c r="B107">
        <v>1.7</v>
      </c>
    </row>
    <row r="108" spans="1:2">
      <c r="A108" s="2" t="s">
        <v>106</v>
      </c>
      <c r="B108">
        <v>-3.9</v>
      </c>
    </row>
    <row r="109" spans="1:2">
      <c r="A109" s="2" t="s">
        <v>107</v>
      </c>
      <c r="B109">
        <v>-2.8</v>
      </c>
    </row>
    <row r="110" spans="1:2">
      <c r="A110" s="2" t="s">
        <v>108</v>
      </c>
      <c r="B110">
        <v>1.4</v>
      </c>
    </row>
    <row r="111" spans="1:2">
      <c r="A111" s="2" t="s">
        <v>109</v>
      </c>
      <c r="B111">
        <v>1.2</v>
      </c>
    </row>
    <row r="112" spans="1:2">
      <c r="A112" s="2" t="s">
        <v>110</v>
      </c>
      <c r="B112">
        <v>-12.200100000000001</v>
      </c>
    </row>
    <row r="113" spans="1:2">
      <c r="A113" s="2" t="s">
        <v>111</v>
      </c>
      <c r="B113">
        <v>-15.817299999999999</v>
      </c>
    </row>
    <row r="114" spans="1:2">
      <c r="A114" s="2" t="s">
        <v>112</v>
      </c>
      <c r="B114">
        <v>2.4018999999999999</v>
      </c>
    </row>
    <row r="115" spans="1:2">
      <c r="A115" s="2" t="s">
        <v>113</v>
      </c>
      <c r="B115">
        <v>3.2859285203860824</v>
      </c>
    </row>
    <row r="116" spans="1:2">
      <c r="A116" s="2" t="s">
        <v>114</v>
      </c>
      <c r="B116">
        <v>3.2</v>
      </c>
    </row>
    <row r="117" spans="1:2">
      <c r="A117" s="2" t="s">
        <v>115</v>
      </c>
      <c r="B117">
        <v>2.6</v>
      </c>
    </row>
    <row r="118" spans="1:2">
      <c r="A118" s="2" t="s">
        <v>116</v>
      </c>
      <c r="B118">
        <v>4.7</v>
      </c>
    </row>
    <row r="119" spans="1:2">
      <c r="A119" s="2" t="s">
        <v>117</v>
      </c>
      <c r="B119">
        <v>3.6</v>
      </c>
    </row>
    <row r="120" spans="1:2">
      <c r="A120" s="2" t="s">
        <v>118</v>
      </c>
      <c r="B120">
        <v>2.5</v>
      </c>
    </row>
    <row r="121" spans="1:2">
      <c r="A121" s="2" t="s">
        <v>119</v>
      </c>
      <c r="B121">
        <v>3.4</v>
      </c>
    </row>
    <row r="122" spans="1:2">
      <c r="A122" s="2" t="s">
        <v>120</v>
      </c>
      <c r="B122">
        <v>3.2</v>
      </c>
    </row>
    <row r="123" spans="1:2">
      <c r="A123" s="2" t="s">
        <v>121</v>
      </c>
      <c r="B123">
        <v>8.9018999999999995</v>
      </c>
    </row>
    <row r="124" spans="1:2">
      <c r="A124" s="2" t="s">
        <v>122</v>
      </c>
      <c r="B124">
        <v>12.1698</v>
      </c>
    </row>
    <row r="125" spans="1:2">
      <c r="A125" s="2" t="s">
        <v>123</v>
      </c>
      <c r="B125">
        <v>13.401899999999999</v>
      </c>
    </row>
    <row r="126" spans="1:2">
      <c r="A126" s="2" t="s">
        <v>124</v>
      </c>
      <c r="B126">
        <v>10.456010988906165</v>
      </c>
    </row>
    <row r="127" spans="1:2">
      <c r="A127" s="2" t="s">
        <v>125</v>
      </c>
      <c r="B127">
        <v>8</v>
      </c>
    </row>
    <row r="128" spans="1:2">
      <c r="A128" s="2" t="s">
        <v>126</v>
      </c>
      <c r="B128">
        <v>8.9</v>
      </c>
    </row>
    <row r="129" spans="1:2">
      <c r="A129" s="2" t="s">
        <v>127</v>
      </c>
      <c r="B129">
        <v>13.1</v>
      </c>
    </row>
    <row r="130" spans="1:2">
      <c r="A130" s="2" t="s">
        <v>128</v>
      </c>
      <c r="B130">
        <v>6.1</v>
      </c>
    </row>
    <row r="131" spans="1:2">
      <c r="A131" s="2" t="s">
        <v>129</v>
      </c>
      <c r="B131">
        <v>6.4</v>
      </c>
    </row>
    <row r="132" spans="1:2">
      <c r="A132" s="2" t="s">
        <v>130</v>
      </c>
      <c r="B132">
        <v>9.6</v>
      </c>
    </row>
    <row r="133" spans="1:2">
      <c r="A133" s="2" t="s">
        <v>131</v>
      </c>
      <c r="B133">
        <v>11.9</v>
      </c>
    </row>
    <row r="134" spans="1:2">
      <c r="A134" s="2" t="s">
        <v>132</v>
      </c>
      <c r="B134">
        <v>-3.6000999999999999</v>
      </c>
    </row>
    <row r="135" spans="1:2">
      <c r="A135" s="2" t="s">
        <v>133</v>
      </c>
      <c r="B135">
        <v>0.34289999999999998</v>
      </c>
    </row>
    <row r="136" spans="1:2">
      <c r="A136" s="2" t="s">
        <v>134</v>
      </c>
      <c r="B136">
        <v>-0.90010000000000001</v>
      </c>
    </row>
    <row r="137" spans="1:2">
      <c r="A137" s="2" t="s">
        <v>135</v>
      </c>
      <c r="B137">
        <v>-0.86768980051767575</v>
      </c>
    </row>
    <row r="138" spans="1:2">
      <c r="A138" s="2" t="s">
        <v>136</v>
      </c>
      <c r="B138">
        <v>0.8</v>
      </c>
    </row>
    <row r="139" spans="1:2">
      <c r="A139" s="2" t="s">
        <v>137</v>
      </c>
      <c r="B139">
        <v>0.4</v>
      </c>
    </row>
    <row r="140" spans="1:2">
      <c r="A140" s="2" t="s">
        <v>138</v>
      </c>
      <c r="B140">
        <v>4.4000000000000004</v>
      </c>
    </row>
    <row r="141" spans="1:2">
      <c r="A141" s="2" t="s">
        <v>139</v>
      </c>
      <c r="B141">
        <v>2.5</v>
      </c>
    </row>
    <row r="142" spans="1:2">
      <c r="A142" s="2" t="s">
        <v>140</v>
      </c>
      <c r="B142">
        <v>4.5999999999999996</v>
      </c>
    </row>
    <row r="143" spans="1:2">
      <c r="A143" s="2" t="s">
        <v>141</v>
      </c>
      <c r="B143">
        <v>3.1</v>
      </c>
    </row>
    <row r="144" spans="1:2">
      <c r="A144" s="2" t="s">
        <v>142</v>
      </c>
      <c r="B144">
        <v>2.9</v>
      </c>
    </row>
    <row r="145" spans="1:2">
      <c r="A145" s="2" t="s">
        <v>143</v>
      </c>
      <c r="B145" s="4">
        <f>Utilidad_Millones!B145/Activos_Millones!B145*100</f>
        <v>2.0773728146196779</v>
      </c>
    </row>
    <row r="146" spans="1:2">
      <c r="A146" s="2" t="s">
        <v>144</v>
      </c>
      <c r="B146" s="4">
        <f>Utilidad_Millones!B146/Activos_Millones!B146*100</f>
        <v>0.12678831090938186</v>
      </c>
    </row>
    <row r="147" spans="1:2">
      <c r="A147" s="2" t="s">
        <v>145</v>
      </c>
      <c r="B147" s="4">
        <f>Utilidad_Millones!B147/Activos_Millones!B147*100</f>
        <v>0.63792851241598492</v>
      </c>
    </row>
    <row r="148" spans="1:2">
      <c r="A148" s="2" t="s">
        <v>146</v>
      </c>
      <c r="B148" s="4">
        <f>Utilidad_Millones!B148/Activos_Millones!B148*100</f>
        <v>4.7115888391577574</v>
      </c>
    </row>
    <row r="149" spans="1:2">
      <c r="A149" s="2" t="s">
        <v>147</v>
      </c>
      <c r="B149" s="4">
        <f>Utilidad_Millones!B149/Activos_Millones!B149*100</f>
        <v>2.4193732465099269</v>
      </c>
    </row>
    <row r="150" spans="1:2">
      <c r="A150" s="2" t="s">
        <v>148</v>
      </c>
      <c r="B150" s="4">
        <f>Utilidad_Millones!B150/Activos_Millones!B150*100</f>
        <v>3.4537521746798658</v>
      </c>
    </row>
    <row r="151" spans="1:2">
      <c r="A151" s="2" t="s">
        <v>149</v>
      </c>
      <c r="B151" s="4">
        <f>Utilidad_Millones!B151/Activos_Millones!B151*100</f>
        <v>1.4396750628049411</v>
      </c>
    </row>
    <row r="152" spans="1:2">
      <c r="A152" s="2" t="s">
        <v>150</v>
      </c>
      <c r="B152" s="4">
        <f>Utilidad_Millones!B152/Activos_Millones!B152*100</f>
        <v>0.80919169422219939</v>
      </c>
    </row>
    <row r="153" spans="1:2">
      <c r="A153" s="2" t="s">
        <v>151</v>
      </c>
      <c r="B153" s="4">
        <f>Utilidad_Millones!B153/Activos_Millones!B153*100</f>
        <v>2.1376949660969768</v>
      </c>
    </row>
    <row r="154" spans="1:2">
      <c r="A154" s="2" t="s">
        <v>152</v>
      </c>
      <c r="B154" s="4">
        <f>Utilidad_Millones!B154/Activos_Millones!B154*100</f>
        <v>1.0138690238423511</v>
      </c>
    </row>
    <row r="155" spans="1:2">
      <c r="A155" s="2" t="s">
        <v>153</v>
      </c>
      <c r="B155" s="4">
        <f>Utilidad_Millones!B155/Activos_Millones!B155*100</f>
        <v>3.4511075637786632</v>
      </c>
    </row>
    <row r="156" spans="1:2">
      <c r="A156" s="2" t="s">
        <v>154</v>
      </c>
      <c r="B156" s="4">
        <f>Utilidad_Millones!B156/Activos_Millones!B156*100</f>
        <v>-35.659361298931387</v>
      </c>
    </row>
    <row r="157" spans="1:2">
      <c r="A157" s="2" t="s">
        <v>155</v>
      </c>
      <c r="B157" s="4">
        <f>Utilidad_Millones!B157/Activos_Millones!B157*100</f>
        <v>-35.560631490140821</v>
      </c>
    </row>
    <row r="158" spans="1:2">
      <c r="A158" s="2" t="s">
        <v>156</v>
      </c>
      <c r="B158" s="4">
        <f>Utilidad_Millones!B158/Activos_Millones!B158*100</f>
        <v>-3.0623145891689041</v>
      </c>
    </row>
    <row r="159" spans="1:2">
      <c r="A159" s="2" t="s">
        <v>157</v>
      </c>
      <c r="B159" s="4">
        <f>Utilidad_Millones!B159/Activos_Millones!B159*100</f>
        <v>-5.0429907933346225</v>
      </c>
    </row>
    <row r="160" spans="1:2">
      <c r="A160" s="2" t="s">
        <v>158</v>
      </c>
      <c r="B160" s="4">
        <f>Utilidad_Millones!B160/Activos_Millones!B160*100</f>
        <v>-11.014746145205114</v>
      </c>
    </row>
    <row r="161" spans="1:2">
      <c r="A161" s="2" t="s">
        <v>159</v>
      </c>
      <c r="B161" s="4">
        <f>Utilidad_Millones!B161/Activos_Millones!B161*100</f>
        <v>-2.9779021214012871</v>
      </c>
    </row>
    <row r="162" spans="1:2">
      <c r="A162" s="2" t="s">
        <v>160</v>
      </c>
      <c r="B162" s="4">
        <f>Utilidad_Millones!B162/Activos_Millones!B162*100</f>
        <v>-3.2820813718897104</v>
      </c>
    </row>
    <row r="163" spans="1:2">
      <c r="A163" s="2" t="s">
        <v>161</v>
      </c>
      <c r="B163" s="4">
        <f>Utilidad_Millones!B163/Activos_Millones!B163*100</f>
        <v>-2.5124602873881487</v>
      </c>
    </row>
    <row r="164" spans="1:2">
      <c r="A164" s="2" t="s">
        <v>162</v>
      </c>
      <c r="B164">
        <f>Utilidad_Millones!B164/Activos_Millones!B164*100</f>
        <v>1.3826033596686353</v>
      </c>
    </row>
    <row r="165" spans="1:2">
      <c r="A165" s="2" t="s">
        <v>163</v>
      </c>
      <c r="B165">
        <f>Utilidad_Millones!B165/Activos_Millones!B165*100</f>
        <v>8.8828443128229058</v>
      </c>
    </row>
    <row r="166" spans="1:2">
      <c r="A166" s="2" t="s">
        <v>164</v>
      </c>
      <c r="B166">
        <f>Utilidad_Millones!B166/Activos_Millones!B166*100</f>
        <v>15.249338094197091</v>
      </c>
    </row>
    <row r="167" spans="1:2">
      <c r="A167" s="2" t="s">
        <v>165</v>
      </c>
      <c r="B167">
        <f>Utilidad_Millones!B167/Activos_Millones!B167*100</f>
        <v>6.5067215140952763</v>
      </c>
    </row>
    <row r="168" spans="1:2">
      <c r="A168" s="2" t="s">
        <v>166</v>
      </c>
      <c r="B168">
        <f>Utilidad_Millones!B168/Activos_Millones!B168*100</f>
        <v>6.8375747998701524</v>
      </c>
    </row>
    <row r="169" spans="1:2">
      <c r="A169" s="2" t="s">
        <v>167</v>
      </c>
      <c r="B169">
        <f>Utilidad_Millones!B169/Activos_Millones!B169*100</f>
        <v>2.7013690905103545</v>
      </c>
    </row>
    <row r="170" spans="1:2">
      <c r="A170" s="2" t="s">
        <v>168</v>
      </c>
      <c r="B170">
        <f>Utilidad_Millones!B170/Activos_Millones!B170*100</f>
        <v>3.4292043988814296</v>
      </c>
    </row>
    <row r="171" spans="1:2">
      <c r="A171" s="2" t="s">
        <v>169</v>
      </c>
      <c r="B171">
        <f>Utilidad_Millones!B171/Activos_Millones!B171*100</f>
        <v>-0.36631837856691579</v>
      </c>
    </row>
    <row r="172" spans="1:2">
      <c r="A172" s="2" t="s">
        <v>170</v>
      </c>
      <c r="B172">
        <f>Utilidad_Millones!B172/Activos_Millones!B172*100</f>
        <v>1.3740073258174434</v>
      </c>
    </row>
    <row r="173" spans="1:2">
      <c r="A173" s="2" t="s">
        <v>171</v>
      </c>
      <c r="B173">
        <f>Utilidad_Millones!B173/Activos_Millones!B173*100</f>
        <v>2.735011953085928</v>
      </c>
    </row>
    <row r="174" spans="1:2">
      <c r="A174" s="2" t="s">
        <v>172</v>
      </c>
      <c r="B174">
        <f>Utilidad_Millones!B174/Activos_Millones!B174*100</f>
        <v>2.8371103970366414</v>
      </c>
    </row>
    <row r="175" spans="1:2">
      <c r="A175" s="2" t="s">
        <v>173</v>
      </c>
      <c r="B175">
        <f>Utilidad_Millones!B175/Activos_Millones!B175*100</f>
        <v>1.6607544018169262</v>
      </c>
    </row>
    <row r="176" spans="1:2">
      <c r="A176" s="2" t="s">
        <v>174</v>
      </c>
      <c r="B176">
        <f>Utilidad_Millones!B176/Activos_Millones!B176*100</f>
        <v>3.0259135841168234</v>
      </c>
    </row>
    <row r="177" spans="1:2">
      <c r="A177" s="2" t="s">
        <v>175</v>
      </c>
      <c r="B177">
        <f>Utilidad_Millones!B177/Activos_Millones!B177*100</f>
        <v>2.5262038556503303</v>
      </c>
    </row>
    <row r="178" spans="1:2">
      <c r="A178" s="2" t="s">
        <v>176</v>
      </c>
      <c r="B178">
        <f>Utilidad_Millones!B178/Activos_Millones!B178*100</f>
        <v>5.3054148317096947</v>
      </c>
    </row>
    <row r="179" spans="1:2">
      <c r="A179" s="2" t="s">
        <v>177</v>
      </c>
      <c r="B179">
        <f>Utilidad_Millones!B179/Activos_Millones!B179*100</f>
        <v>3.130297555852918</v>
      </c>
    </row>
    <row r="180" spans="1:2">
      <c r="A180" s="2" t="s">
        <v>178</v>
      </c>
      <c r="B180">
        <f>Utilidad_Millones!B180/Activos_Millones!B180*100</f>
        <v>1.0243730788350223</v>
      </c>
    </row>
    <row r="181" spans="1:2">
      <c r="A181" s="2" t="s">
        <v>179</v>
      </c>
      <c r="B181">
        <f>Utilidad_Millones!B181/Activos_Millones!B181*100</f>
        <v>0.62507662756957771</v>
      </c>
    </row>
    <row r="182" spans="1:2">
      <c r="A182" s="2" t="s">
        <v>180</v>
      </c>
      <c r="B182">
        <f>Utilidad_Millones!B182/Activos_Millones!B182*100</f>
        <v>4.0223541707963166</v>
      </c>
    </row>
    <row r="183" spans="1:2">
      <c r="A183" s="2" t="s">
        <v>181</v>
      </c>
      <c r="B183">
        <f>Utilidad_Millones!B183/Activos_Millones!B183*100</f>
        <v>3.4964700632679402</v>
      </c>
    </row>
    <row r="184" spans="1:2">
      <c r="A184" s="2" t="s">
        <v>182</v>
      </c>
      <c r="B184">
        <f>Utilidad_Millones!B184/Activos_Millones!B184*100</f>
        <v>5.3472271493280257</v>
      </c>
    </row>
    <row r="185" spans="1:2">
      <c r="A185" s="2" t="s">
        <v>183</v>
      </c>
      <c r="B185">
        <f>Utilidad_Millones!B185/Activos_Millones!B185*100</f>
        <v>6.763901842284997</v>
      </c>
    </row>
    <row r="186" spans="1:2">
      <c r="A186" s="2" t="s">
        <v>184</v>
      </c>
      <c r="B186">
        <f>Utilidad_Millones!B186/Activos_Millones!B186*100</f>
        <v>3.3692328446802771</v>
      </c>
    </row>
    <row r="187" spans="1:2">
      <c r="A187" s="2" t="s">
        <v>185</v>
      </c>
      <c r="B187">
        <f>Utilidad_Millones!B187/Activos_Millones!B187*100</f>
        <v>6.7060524496506515</v>
      </c>
    </row>
    <row r="188" spans="1:2">
      <c r="A188" s="2" t="s">
        <v>186</v>
      </c>
      <c r="B188">
        <f>Utilidad_Millones!B188/Activos_Millones!B188*100</f>
        <v>5.3609084207823621</v>
      </c>
    </row>
    <row r="189" spans="1:2">
      <c r="A189" s="2" t="s">
        <v>187</v>
      </c>
      <c r="B189">
        <f>Utilidad_Millones!B189/Activos_Millones!B189*100</f>
        <v>0.53833389022798606</v>
      </c>
    </row>
    <row r="190" spans="1:2">
      <c r="A190" s="2" t="s">
        <v>188</v>
      </c>
      <c r="B190">
        <f>Utilidad_Millones!B190/Activos_Millones!B190*100</f>
        <v>0.28824150677697585</v>
      </c>
    </row>
    <row r="191" spans="1:2">
      <c r="A191" s="2" t="s">
        <v>189</v>
      </c>
      <c r="B191">
        <f>Utilidad_Millones!B191/Activos_Millones!B191*100</f>
        <v>0.56670681439752002</v>
      </c>
    </row>
    <row r="192" spans="1:2">
      <c r="A192" s="2" t="s">
        <v>190</v>
      </c>
      <c r="B192">
        <f>Utilidad_Millones!B192/Activos_Millones!B192*100</f>
        <v>1.3134245817779622</v>
      </c>
    </row>
    <row r="193" spans="1:2">
      <c r="A193" s="2" t="s">
        <v>191</v>
      </c>
      <c r="B193">
        <f>Utilidad_Millones!B193/Activos_Millones!B193*100</f>
        <v>1.1538353147683673</v>
      </c>
    </row>
    <row r="194" spans="1:2">
      <c r="A194" s="2" t="s">
        <v>192</v>
      </c>
      <c r="B194">
        <f>Utilidad_Millones!B194/Activos_Millones!B194*100</f>
        <v>4.2545967931695188</v>
      </c>
    </row>
    <row r="195" spans="1:2">
      <c r="A195" s="2" t="s">
        <v>193</v>
      </c>
      <c r="B195">
        <f>Utilidad_Millones!B195/Activos_Millones!B195*100</f>
        <v>4.0549945639640228</v>
      </c>
    </row>
    <row r="196" spans="1:2">
      <c r="A196" s="2" t="s">
        <v>194</v>
      </c>
      <c r="B196">
        <f>Utilidad_Millones!B196/Activos_Millones!B196*100</f>
        <v>2.1686394907508468</v>
      </c>
    </row>
    <row r="197" spans="1:2">
      <c r="A197" s="2" t="s">
        <v>195</v>
      </c>
      <c r="B197">
        <f>Utilidad_Millones!B197/Activos_Millones!B197*100</f>
        <v>1.8178176509650308</v>
      </c>
    </row>
    <row r="198" spans="1:2">
      <c r="A198" s="2" t="s">
        <v>196</v>
      </c>
      <c r="B198">
        <f>Utilidad_Millones!B198/Activos_Millones!B198*100</f>
        <v>1.8030518276277552</v>
      </c>
    </row>
    <row r="199" spans="1:2">
      <c r="A199" s="2" t="s">
        <v>197</v>
      </c>
      <c r="B199">
        <f>Utilidad_Millones!B199/Activos_Millones!B199*100</f>
        <v>1.1624974628031566</v>
      </c>
    </row>
    <row r="200" spans="1:2">
      <c r="A200" s="2" t="s">
        <v>198</v>
      </c>
      <c r="B200">
        <f>Utilidad_Millones!B200/Activos_Millones!B200*100</f>
        <v>4.8577517697506174</v>
      </c>
    </row>
    <row r="201" spans="1:2">
      <c r="A201" s="2" t="s">
        <v>199</v>
      </c>
      <c r="B201">
        <f>Utilidad_Millones!B201/Activos_Millones!B201*100</f>
        <v>4.5519882280084776</v>
      </c>
    </row>
    <row r="202" spans="1:2">
      <c r="A202" s="2" t="s">
        <v>200</v>
      </c>
      <c r="B202">
        <f>Utilidad_Millones!B202/Activos_Millones!B202*100</f>
        <v>4.6325100451807621</v>
      </c>
    </row>
    <row r="203" spans="1:2">
      <c r="A203" s="2" t="s">
        <v>201</v>
      </c>
      <c r="B203">
        <f>Utilidad_Millones!B203/Activos_Millones!B203*100</f>
        <v>5.5274976261965252</v>
      </c>
    </row>
    <row r="204" spans="1:2">
      <c r="A204" s="2" t="s">
        <v>202</v>
      </c>
      <c r="B204">
        <f>Utilidad_Millones!B204/Activos_Millones!B204*100</f>
        <v>6.5831332020623972</v>
      </c>
    </row>
    <row r="205" spans="1:2">
      <c r="A205" s="2" t="s">
        <v>203</v>
      </c>
      <c r="B205">
        <f>Utilidad_Millones!B205/Activos_Millones!B205*100</f>
        <v>5.7297869853970491</v>
      </c>
    </row>
    <row r="206" spans="1:2">
      <c r="A206" s="2" t="s">
        <v>204</v>
      </c>
      <c r="B206">
        <f>Utilidad_Millones!B206/Activos_Millones!B206*100</f>
        <v>3.8919072217894453</v>
      </c>
    </row>
    <row r="207" spans="1:2">
      <c r="A207" s="2" t="s">
        <v>205</v>
      </c>
      <c r="B207">
        <f>Utilidad_Millones!B207/Activos_Millones!B207*100</f>
        <v>3.3675300387037144</v>
      </c>
    </row>
    <row r="208" spans="1:2">
      <c r="A208" s="2" t="s">
        <v>206</v>
      </c>
      <c r="B208">
        <f>Utilidad_Millones!B208/Activos_Millones!B208*100</f>
        <v>2.6418160029836693</v>
      </c>
    </row>
    <row r="209" spans="1:2">
      <c r="A209" s="2" t="s">
        <v>207</v>
      </c>
      <c r="B209">
        <f>Utilidad_Millones!B209/Activos_Millones!B209*100</f>
        <v>3.5367103056858347</v>
      </c>
    </row>
    <row r="210" spans="1:2">
      <c r="A210" s="2" t="s">
        <v>208</v>
      </c>
      <c r="B210">
        <f>Utilidad_Millones!B210/Activos_Millones!B210*100</f>
        <v>3.5292535825526654</v>
      </c>
    </row>
    <row r="211" spans="1:2">
      <c r="A211" s="2" t="s">
        <v>209</v>
      </c>
      <c r="B211">
        <f>Utilidad_Millones!B211/Activos_Millones!B211*100</f>
        <v>0.96405560871140505</v>
      </c>
    </row>
    <row r="212" spans="1:2">
      <c r="A212" s="2" t="s">
        <v>210</v>
      </c>
      <c r="B212">
        <f>Utilidad_Millones!B212/Activos_Millones!B212*100</f>
        <v>3.0694435577210153</v>
      </c>
    </row>
    <row r="213" spans="1:2">
      <c r="A213" s="2" t="s">
        <v>211</v>
      </c>
      <c r="B213">
        <f>Utilidad_Millones!B213/Activos_Millones!B213*100</f>
        <v>4.5221592812335683</v>
      </c>
    </row>
    <row r="214" spans="1:2">
      <c r="A214" s="2" t="s">
        <v>212</v>
      </c>
      <c r="B214">
        <f>Utilidad_Millones!B214/Activos_Millones!B214*100</f>
        <v>4.9659701075576237</v>
      </c>
    </row>
    <row r="215" spans="1:2">
      <c r="A215" s="2" t="s">
        <v>213</v>
      </c>
      <c r="B215">
        <f>Utilidad_Millones!B215/Activos_Millones!B215*100</f>
        <v>4.5646647811713326</v>
      </c>
    </row>
    <row r="216" spans="1:2">
      <c r="A216" s="2" t="s">
        <v>214</v>
      </c>
      <c r="B216">
        <f>Utilidad_Millones!B216/Activos_Millones!B216*100</f>
        <v>3.8620386101021404</v>
      </c>
    </row>
    <row r="217" spans="1:2">
      <c r="A217" s="2" t="s">
        <v>215</v>
      </c>
      <c r="B217">
        <f>Utilidad_Millones!B217/Activos_Millones!B217*100</f>
        <v>3.6186147920415199</v>
      </c>
    </row>
    <row r="218" spans="1:2">
      <c r="A218" s="2" t="s">
        <v>216</v>
      </c>
      <c r="B218">
        <f>Utilidad_Millones!B218/Activos_Millones!B218*100</f>
        <v>3.9174432509022679</v>
      </c>
    </row>
    <row r="219" spans="1:2">
      <c r="A219" s="2" t="s">
        <v>217</v>
      </c>
      <c r="B219">
        <f>Utilidad_Millones!B219/Activos_Millones!B219*100</f>
        <v>3.7620471976610759</v>
      </c>
    </row>
    <row r="220" spans="1:2">
      <c r="A220" s="2" t="s">
        <v>218</v>
      </c>
      <c r="B220">
        <f>Utilidad_Millones!B220/Activos_Millones!B220*100</f>
        <v>4.5507425533907</v>
      </c>
    </row>
    <row r="221" spans="1:2">
      <c r="A221" s="2" t="s">
        <v>219</v>
      </c>
      <c r="B221">
        <f>Utilidad_Millones!B221/Activos_Millones!B221*100</f>
        <v>3.2352873921332672</v>
      </c>
    </row>
    <row r="222" spans="1:2">
      <c r="A222" s="2" t="s">
        <v>220</v>
      </c>
      <c r="B222">
        <f>Utilidad_Millones!B222/Activos_Millones!B222*100</f>
        <v>6.9350893673499696</v>
      </c>
    </row>
    <row r="223" spans="1:2">
      <c r="A223" s="2" t="s">
        <v>221</v>
      </c>
      <c r="B223">
        <f>Utilidad_Millones!B223/Activos_Millones!B223*100</f>
        <v>8.3757086913320471</v>
      </c>
    </row>
    <row r="224" spans="1:2">
      <c r="A224" s="2" t="s">
        <v>222</v>
      </c>
      <c r="B224">
        <f>Utilidad_Millones!B224/Activos_Millones!B224*100</f>
        <v>8.6770428015564196</v>
      </c>
    </row>
    <row r="225" spans="1:2">
      <c r="A225" s="2" t="s">
        <v>223</v>
      </c>
      <c r="B225">
        <f>Utilidad_Millones!B225/Activos_Millones!B225*100</f>
        <v>10.375434147417167</v>
      </c>
    </row>
    <row r="226" spans="1:2">
      <c r="A226" s="2" t="s">
        <v>224</v>
      </c>
      <c r="B226">
        <f>Utilidad_Millones!B226/Activos_Millones!B226*100</f>
        <v>10.215162894549882</v>
      </c>
    </row>
    <row r="227" spans="1:2">
      <c r="A227" s="2" t="s">
        <v>225</v>
      </c>
      <c r="B227">
        <f>Utilidad_Millones!B227/Activos_Millones!B227*100</f>
        <v>9.0002658867322527</v>
      </c>
    </row>
    <row r="228" spans="1:2">
      <c r="A228" s="2" t="s">
        <v>226</v>
      </c>
      <c r="B228">
        <f>Utilidad_Millones!B228/Activos_Millones!B228*100</f>
        <v>8.8494893042975526</v>
      </c>
    </row>
    <row r="229" spans="1:2">
      <c r="A229" s="2" t="s">
        <v>227</v>
      </c>
      <c r="B229">
        <f>Utilidad_Millones!B229/Activos_Millones!B229*100</f>
        <v>6.8437378829003483</v>
      </c>
    </row>
    <row r="230" spans="1:2">
      <c r="A230" s="2" t="s">
        <v>228</v>
      </c>
      <c r="B230">
        <f>Utilidad_Millones!B230/Activos_Millones!B230*100</f>
        <v>2.646390491172872</v>
      </c>
    </row>
    <row r="231" spans="1:2">
      <c r="A231" s="2" t="s">
        <v>229</v>
      </c>
      <c r="B231">
        <f>Utilidad_Millones!B231/Activos_Millones!B231*100</f>
        <v>5.2052533865089732</v>
      </c>
    </row>
    <row r="232" spans="1:2">
      <c r="A232" s="2" t="s">
        <v>230</v>
      </c>
      <c r="B232">
        <f>Utilidad_Millones!B232/Activos_Millones!B232*100</f>
        <v>2.130339342905466</v>
      </c>
    </row>
    <row r="233" spans="1:2">
      <c r="A233" s="2" t="s">
        <v>231</v>
      </c>
      <c r="B233" s="4">
        <f>Activos_Millones!B233/Utilidad_Millones!B233</f>
        <v>48.002538071065992</v>
      </c>
    </row>
    <row r="234" spans="1:2">
      <c r="A234" s="2" t="s">
        <v>232</v>
      </c>
      <c r="B234" s="4">
        <f>Activos_Millones!B234/Utilidad_Millones!B234</f>
        <v>-17.60280373831776</v>
      </c>
    </row>
    <row r="235" spans="1:2">
      <c r="A235" s="2" t="s">
        <v>233</v>
      </c>
      <c r="B235" s="4">
        <f>Activos_Millones!B235/Utilidad_Millones!B235</f>
        <v>76.877551020408163</v>
      </c>
    </row>
    <row r="236" spans="1:2">
      <c r="A236" s="2" t="s">
        <v>234</v>
      </c>
      <c r="B236" s="4">
        <f>Activos_Millones!B236/Utilidad_Millones!B236</f>
        <v>74.674576271186439</v>
      </c>
    </row>
    <row r="237" spans="1:2">
      <c r="A237" s="2" t="s">
        <v>235</v>
      </c>
      <c r="B237">
        <f>Utilidad_Millones!B237/Activos_Millones!B237*100</f>
        <v>11.776953018919164</v>
      </c>
    </row>
    <row r="238" spans="1:2">
      <c r="A238" s="2" t="s">
        <v>236</v>
      </c>
      <c r="B238">
        <f>Utilidad_Millones!B238/Activos_Millones!B238*100</f>
        <v>13.431582874731834</v>
      </c>
    </row>
    <row r="239" spans="1:2">
      <c r="A239" s="2" t="s">
        <v>237</v>
      </c>
      <c r="B239">
        <f>Utilidad_Millones!B239/Activos_Millones!B239*100</f>
        <v>12.820512820512819</v>
      </c>
    </row>
    <row r="240" spans="1:2">
      <c r="A240" s="2" t="s">
        <v>238</v>
      </c>
      <c r="B240">
        <f>Utilidad_Millones!B240/Activos_Millones!B240*100</f>
        <v>10.226163358281809</v>
      </c>
    </row>
    <row r="241" spans="1:2">
      <c r="A241" s="2" t="s">
        <v>278</v>
      </c>
      <c r="B241">
        <f>Utilidad_Millones!B241/Activos_Millones!B241*100</f>
        <v>8.8701923076923084</v>
      </c>
    </row>
    <row r="242" spans="1:2">
      <c r="A242" s="2" t="s">
        <v>240</v>
      </c>
      <c r="B242">
        <f>Utilidad_Millones!B242/Activos_Millones!B242*100</f>
        <v>7.4968422616836312</v>
      </c>
    </row>
    <row r="243" spans="1:2">
      <c r="A243" s="2" t="s">
        <v>241</v>
      </c>
      <c r="B243">
        <f>Utilidad_Millones!B243/Activos_Millones!B243*100</f>
        <v>10.398356352014611</v>
      </c>
    </row>
    <row r="244" spans="1:2">
      <c r="A244" s="2" t="s">
        <v>242</v>
      </c>
      <c r="B244">
        <f>Utilidad_Millones!B244/Activos_Millones!B244*100</f>
        <v>3.3820181040706396</v>
      </c>
    </row>
    <row r="245" spans="1:2">
      <c r="A245" s="2" t="s">
        <v>243</v>
      </c>
      <c r="B245">
        <f>Utilidad_Millones!B245/Activos_Millones!B245*100</f>
        <v>2.6960336318771705</v>
      </c>
    </row>
    <row r="246" spans="1:2">
      <c r="A246" s="2" t="s">
        <v>244</v>
      </c>
      <c r="B246">
        <f>Utilidad_Millones!B246/Activos_Millones!B246*100</f>
        <v>11.64680687496568</v>
      </c>
    </row>
    <row r="247" spans="1:2">
      <c r="A247" s="2" t="s">
        <v>245</v>
      </c>
      <c r="B247">
        <f>Utilidad_Millones!B247/Activos_Millones!B247*100</f>
        <v>14.086766483771971</v>
      </c>
    </row>
    <row r="248" spans="1:2">
      <c r="A248" s="2" t="s">
        <v>246</v>
      </c>
      <c r="B248">
        <f>Utilidad_Millones!B248/Activos_Millones!B248*100</f>
        <v>15.056243958168555</v>
      </c>
    </row>
    <row r="249" spans="1:2">
      <c r="A249" s="2" t="s">
        <v>247</v>
      </c>
      <c r="B249">
        <f>Utilidad_Millones!B249/Activos_Millones!B249*100</f>
        <v>16.401778729361386</v>
      </c>
    </row>
    <row r="250" spans="1:2">
      <c r="A250" s="2" t="s">
        <v>248</v>
      </c>
      <c r="B250">
        <f>Utilidad_Millones!B250/Activos_Millones!B250*100</f>
        <v>10.376801322938814</v>
      </c>
    </row>
    <row r="251" spans="1:2">
      <c r="A251" s="2" t="s">
        <v>249</v>
      </c>
      <c r="B251">
        <f>Utilidad_Millones!B251/Activos_Millones!B251*100</f>
        <v>10.895930021581773</v>
      </c>
    </row>
    <row r="252" spans="1:2">
      <c r="A252" s="2" t="s">
        <v>279</v>
      </c>
      <c r="B252">
        <f>Utilidad_Millones!B252/Activos_Millones!B252*100</f>
        <v>-14.880988802545433</v>
      </c>
    </row>
    <row r="253" spans="1:2">
      <c r="A253" s="2" t="s">
        <v>251</v>
      </c>
      <c r="B253">
        <f>Utilidad_Millones!B253/Activos_Millones!B253*100</f>
        <v>13.308250144127195</v>
      </c>
    </row>
    <row r="254" spans="1:2">
      <c r="A254" s="2" t="s">
        <v>252</v>
      </c>
      <c r="B254">
        <f>Utilidad_Millones!B254/Activos_Millones!B254*100</f>
        <v>14.603584873855144</v>
      </c>
    </row>
    <row r="255" spans="1:2">
      <c r="A255" s="2" t="s">
        <v>253</v>
      </c>
      <c r="B255">
        <f>Utilidad_Millones!B255/Activos_Millones!B255*100</f>
        <v>21.927740058195926</v>
      </c>
    </row>
    <row r="256" spans="1:2">
      <c r="A256" s="2" t="s">
        <v>254</v>
      </c>
      <c r="B256">
        <f>Utilidad_Millones!B256/Activos_Millones!B256*100</f>
        <v>26.392459297343617</v>
      </c>
    </row>
    <row r="257" spans="1:2">
      <c r="A257" s="2" t="s">
        <v>255</v>
      </c>
      <c r="B257">
        <f>Utilidad_Millones!B257/Activos_Millones!B257*100</f>
        <v>28.364009762598229</v>
      </c>
    </row>
    <row r="258" spans="1:2">
      <c r="A258" s="2" t="s">
        <v>256</v>
      </c>
      <c r="B258">
        <f>Utilidad_Millones!B258/Activos_Millones!B258*100</f>
        <v>22.753520973049074</v>
      </c>
    </row>
    <row r="259" spans="1:2">
      <c r="A259" s="2" t="s">
        <v>257</v>
      </c>
      <c r="B259">
        <f>Utilidad_Millones!B259/Activos_Millones!B259*100</f>
        <v>14.58895331543126</v>
      </c>
    </row>
    <row r="260" spans="1:2">
      <c r="A260" s="2" t="s">
        <v>258</v>
      </c>
      <c r="B260">
        <f>Utilidad_Millones!B260/Activos_Millones!B260*100</f>
        <v>12.284966777936061</v>
      </c>
    </row>
    <row r="261" spans="1:2">
      <c r="A261" s="2" t="s">
        <v>259</v>
      </c>
      <c r="B261">
        <f>Utilidad_Millones!B261/Activos_Millones!B261*100</f>
        <v>21.935422703277897</v>
      </c>
    </row>
    <row r="262" spans="1:2">
      <c r="A262" s="2" t="s">
        <v>260</v>
      </c>
      <c r="B262">
        <f>Utilidad_Millones!B262/Activos_Millones!B262*100</f>
        <v>6.3713049166759363</v>
      </c>
    </row>
    <row r="263" spans="1:2">
      <c r="A263" s="2" t="s">
        <v>280</v>
      </c>
      <c r="B263">
        <f>Utilidad_Millones!B263/Activos_Millones!B263*100</f>
        <v>7.5879756925991817</v>
      </c>
    </row>
    <row r="264" spans="1:2">
      <c r="A264" s="2" t="s">
        <v>262</v>
      </c>
      <c r="B264">
        <f>Utilidad_Millones!B264/Activos_Millones!B264*100</f>
        <v>-0.75785582255083173</v>
      </c>
    </row>
    <row r="265" spans="1:2">
      <c r="A265" s="2" t="s">
        <v>263</v>
      </c>
      <c r="B265">
        <f>Utilidad_Millones!B265/Activos_Millones!B265*100</f>
        <v>5.7187683859580316</v>
      </c>
    </row>
    <row r="266" spans="1:2">
      <c r="A266" s="2" t="s">
        <v>264</v>
      </c>
      <c r="B266">
        <f>Utilidad_Millones!B266/Activos_Millones!B266*100</f>
        <v>1.9971158360721712</v>
      </c>
    </row>
    <row r="267" spans="1:2">
      <c r="A267" s="2" t="s">
        <v>265</v>
      </c>
      <c r="B267">
        <f>Utilidad_Millones!B267/Activos_Millones!B267*100</f>
        <v>1.9264015806371944</v>
      </c>
    </row>
    <row r="268" spans="1:2">
      <c r="A268" s="2" t="s">
        <v>266</v>
      </c>
      <c r="B268">
        <f>Utilidad_Millones!B268/Activos_Millones!B268*100</f>
        <v>10.908913499536517</v>
      </c>
    </row>
    <row r="269" spans="1:2">
      <c r="A269" s="2" t="s">
        <v>267</v>
      </c>
      <c r="B269">
        <f>Utilidad_Millones!B269/Activos_Millones!B269*100</f>
        <v>8.7857749363168676</v>
      </c>
    </row>
    <row r="270" spans="1:2">
      <c r="A270" s="2" t="s">
        <v>268</v>
      </c>
      <c r="B270">
        <f>Utilidad_Millones!B270/Activos_Millones!B270*100</f>
        <v>11.416200232337099</v>
      </c>
    </row>
    <row r="271" spans="1:2">
      <c r="A271" s="2" t="s">
        <v>269</v>
      </c>
      <c r="B271">
        <f>Utilidad_Millones!B271/Activos_Millones!B271*100</f>
        <v>15.918067938155964</v>
      </c>
    </row>
    <row r="272" spans="1:2">
      <c r="A272" s="2" t="s">
        <v>270</v>
      </c>
      <c r="B272">
        <f>Utilidad_Millones!B272/Activos_Millones!B272*100</f>
        <v>18.398028342575479</v>
      </c>
    </row>
    <row r="273" spans="1:2">
      <c r="A273" s="2" t="s">
        <v>271</v>
      </c>
      <c r="B273">
        <f>Utilidad_Millones!B273/Activos_Millones!B273*100</f>
        <v>21.879374353356461</v>
      </c>
    </row>
    <row r="274" spans="1:2">
      <c r="A274" s="2" t="s">
        <v>281</v>
      </c>
      <c r="B274">
        <f>Utilidad_Millones!B274/Activos_Millones!B274*100</f>
        <v>32.561125051059115</v>
      </c>
    </row>
    <row r="275" spans="1:2">
      <c r="A275" s="2" t="s">
        <v>273</v>
      </c>
      <c r="B275">
        <f>Utilidad_Millones!B275/Activos_Millones!B275*100</f>
        <v>27.844377844377842</v>
      </c>
    </row>
    <row r="276" spans="1:2">
      <c r="A276" s="2" t="s">
        <v>274</v>
      </c>
      <c r="B276">
        <f>Utilidad_Millones!B276/Activos_Millones!B276*100</f>
        <v>28.913234458167537</v>
      </c>
    </row>
    <row r="277" spans="1:2">
      <c r="A277" s="2" t="s">
        <v>275</v>
      </c>
      <c r="B277">
        <f>Utilidad_Millones!B277/Activos_Millones!B277*100</f>
        <v>31.48403306856865</v>
      </c>
    </row>
    <row r="278" spans="1:2">
      <c r="A278" s="2" t="s">
        <v>276</v>
      </c>
      <c r="B278">
        <f>Utilidad_Millones!B278/Activos_Millones!B278*100</f>
        <v>32.157165435365897</v>
      </c>
    </row>
  </sheetData>
  <phoneticPr fontId="2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CD1C-8199-4156-AE86-7C0488F58F4B}">
  <sheetPr codeName="Hoja7"/>
  <dimension ref="A1:B278"/>
  <sheetViews>
    <sheetView topLeftCell="A251" workbookViewId="0">
      <selection activeCell="A275" sqref="A275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7.1018999999999997</v>
      </c>
    </row>
    <row r="3" spans="1:2">
      <c r="A3" s="2" t="s">
        <v>1</v>
      </c>
      <c r="B3">
        <f>Utilidad_Millones!B3/Ingresos_Millones!B3*100</f>
        <v>6.6312607901012051</v>
      </c>
    </row>
    <row r="4" spans="1:2">
      <c r="A4" s="2" t="s">
        <v>2</v>
      </c>
      <c r="B4">
        <f>Utilidad_Millones!B4/Ingresos_Millones!B4*100</f>
        <v>6.9868091752441517</v>
      </c>
    </row>
    <row r="5" spans="1:2">
      <c r="A5" s="2" t="s">
        <v>3</v>
      </c>
      <c r="B5">
        <f>Utilidad_Millones!B5/Ingresos_Millones!B5*100</f>
        <v>7.2113360642749518</v>
      </c>
    </row>
    <row r="6" spans="1:2">
      <c r="A6" s="2" t="s">
        <v>4</v>
      </c>
      <c r="B6">
        <f>Utilidad_Millones!B6/Ingresos_Millones!B6*100</f>
        <v>6.9096976359347302</v>
      </c>
    </row>
    <row r="7" spans="1:2">
      <c r="A7" s="2" t="s">
        <v>5</v>
      </c>
      <c r="B7">
        <f>Utilidad_Millones!B7/Ingresos_Millones!B7*100</f>
        <v>7.2884105111221871</v>
      </c>
    </row>
    <row r="8" spans="1:2">
      <c r="A8" s="2" t="s">
        <v>277</v>
      </c>
      <c r="B8">
        <f>Utilidad_Millones!B8/Ingresos_Millones!B8*100</f>
        <v>7.3933114485022573</v>
      </c>
    </row>
    <row r="9" spans="1:2">
      <c r="A9" s="2" t="s">
        <v>7</v>
      </c>
      <c r="B9">
        <f>Utilidad_Millones!B9/Ingresos_Millones!B9*100</f>
        <v>4.7164812779390548</v>
      </c>
    </row>
    <row r="10" spans="1:2">
      <c r="A10" s="2" t="s">
        <v>8</v>
      </c>
      <c r="B10">
        <f>Utilidad_Millones!B10/Ingresos_Millones!B10*100</f>
        <v>3.8134973371834162</v>
      </c>
    </row>
    <row r="11" spans="1:2">
      <c r="A11" s="2" t="s">
        <v>9</v>
      </c>
      <c r="B11">
        <f>Utilidad_Millones!B11/Ingresos_Millones!B11*100</f>
        <v>11.130947312076495</v>
      </c>
    </row>
    <row r="12" spans="1:2">
      <c r="A12" s="2" t="s">
        <v>10</v>
      </c>
      <c r="B12">
        <f>Utilidad_Millones!B12/Ingresos_Millones!B12*100</f>
        <v>12.580463000187345</v>
      </c>
    </row>
    <row r="13" spans="1:2">
      <c r="A13" s="2" t="s">
        <v>11</v>
      </c>
      <c r="B13">
        <v>4.1018999999999997</v>
      </c>
    </row>
    <row r="14" spans="1:2">
      <c r="A14" s="2" t="s">
        <v>12</v>
      </c>
      <c r="B14">
        <v>5.8</v>
      </c>
    </row>
    <row r="15" spans="1:2">
      <c r="A15" s="2" t="s">
        <v>13</v>
      </c>
      <c r="B15">
        <v>5.8018999999999998</v>
      </c>
    </row>
    <row r="16" spans="1:2">
      <c r="A16" s="2" t="s">
        <v>14</v>
      </c>
      <c r="B16">
        <v>6.8837825083892623</v>
      </c>
    </row>
    <row r="17" spans="1:2">
      <c r="A17" s="2" t="s">
        <v>15</v>
      </c>
      <c r="B17">
        <v>7</v>
      </c>
    </row>
    <row r="18" spans="1:2">
      <c r="A18" s="2" t="s">
        <v>16</v>
      </c>
      <c r="B18">
        <v>6.9</v>
      </c>
    </row>
    <row r="19" spans="1:2">
      <c r="A19" s="2" t="s">
        <v>17</v>
      </c>
      <c r="B19">
        <v>6.5</v>
      </c>
    </row>
    <row r="20" spans="1:2">
      <c r="A20" s="2" t="s">
        <v>18</v>
      </c>
      <c r="B20">
        <v>-2.8</v>
      </c>
    </row>
    <row r="21" spans="1:2">
      <c r="A21" s="2" t="s">
        <v>19</v>
      </c>
      <c r="B21">
        <v>-2.6</v>
      </c>
    </row>
    <row r="22" spans="1:2">
      <c r="A22" s="2" t="s">
        <v>20</v>
      </c>
      <c r="B22">
        <v>3.8</v>
      </c>
    </row>
    <row r="23" spans="1:2">
      <c r="A23" s="2" t="s">
        <v>21</v>
      </c>
      <c r="B23">
        <v>0.2</v>
      </c>
    </row>
    <row r="24" spans="1:2">
      <c r="A24" s="2" t="s">
        <v>22</v>
      </c>
      <c r="B24">
        <v>2.8018999999999998</v>
      </c>
    </row>
    <row r="25" spans="1:2">
      <c r="A25" s="2" t="s">
        <v>23</v>
      </c>
      <c r="B25">
        <v>5.0999999999999996</v>
      </c>
    </row>
    <row r="26" spans="1:2">
      <c r="A26" s="2" t="s">
        <v>24</v>
      </c>
      <c r="B26">
        <v>7.0019</v>
      </c>
    </row>
    <row r="27" spans="1:2">
      <c r="A27" s="2" t="s">
        <v>25</v>
      </c>
      <c r="B27">
        <v>5.9951579532785857</v>
      </c>
    </row>
    <row r="28" spans="1:2">
      <c r="A28" s="2" t="s">
        <v>26</v>
      </c>
      <c r="B28">
        <v>5.4</v>
      </c>
    </row>
    <row r="29" spans="1:2">
      <c r="A29" s="2" t="s">
        <v>27</v>
      </c>
      <c r="B29">
        <v>5.7</v>
      </c>
    </row>
    <row r="30" spans="1:2">
      <c r="A30" s="2" t="s">
        <v>28</v>
      </c>
      <c r="B30">
        <v>4.7</v>
      </c>
    </row>
    <row r="31" spans="1:2">
      <c r="A31" s="2" t="s">
        <v>29</v>
      </c>
      <c r="B31">
        <v>1.3</v>
      </c>
    </row>
    <row r="32" spans="1:2">
      <c r="A32" s="2" t="s">
        <v>30</v>
      </c>
      <c r="B32">
        <v>2.5</v>
      </c>
    </row>
    <row r="33" spans="1:2">
      <c r="A33" s="2" t="s">
        <v>31</v>
      </c>
      <c r="B33">
        <v>4.8</v>
      </c>
    </row>
    <row r="34" spans="1:2">
      <c r="A34" s="2" t="s">
        <v>32</v>
      </c>
      <c r="B34">
        <v>4.9000000000000004</v>
      </c>
    </row>
    <row r="35" spans="1:2">
      <c r="A35" s="2" t="s">
        <v>33</v>
      </c>
      <c r="B35">
        <v>14.8019</v>
      </c>
    </row>
    <row r="36" spans="1:2">
      <c r="A36" s="2" t="s">
        <v>34</v>
      </c>
      <c r="B36">
        <v>4.2</v>
      </c>
    </row>
    <row r="37" spans="1:2">
      <c r="A37" s="2" t="s">
        <v>35</v>
      </c>
      <c r="B37">
        <v>4.9019000000000004</v>
      </c>
    </row>
    <row r="38" spans="1:2">
      <c r="A38" s="2" t="s">
        <v>36</v>
      </c>
      <c r="B38">
        <v>2.2120116326686423</v>
      </c>
    </row>
    <row r="39" spans="1:2">
      <c r="A39" s="2" t="s">
        <v>37</v>
      </c>
      <c r="B39">
        <v>4.9000000000000004</v>
      </c>
    </row>
    <row r="40" spans="1:2">
      <c r="A40" s="2" t="s">
        <v>38</v>
      </c>
      <c r="B40">
        <v>3</v>
      </c>
    </row>
    <row r="41" spans="1:2">
      <c r="A41" s="2" t="s">
        <v>39</v>
      </c>
      <c r="B41">
        <v>2.2999999999999998</v>
      </c>
    </row>
    <row r="42" spans="1:2">
      <c r="A42" s="2" t="s">
        <v>40</v>
      </c>
      <c r="B42">
        <v>0</v>
      </c>
    </row>
    <row r="43" spans="1:2">
      <c r="A43" s="2" t="s">
        <v>41</v>
      </c>
      <c r="B43">
        <v>-1</v>
      </c>
    </row>
    <row r="44" spans="1:2">
      <c r="A44" s="2" t="s">
        <v>42</v>
      </c>
      <c r="B44">
        <v>13.2</v>
      </c>
    </row>
    <row r="45" spans="1:2">
      <c r="A45" s="2" t="s">
        <v>43</v>
      </c>
      <c r="B45">
        <v>-1.3</v>
      </c>
    </row>
    <row r="46" spans="1:2">
      <c r="A46" s="2" t="s">
        <v>44</v>
      </c>
      <c r="B46">
        <v>6.1018999999999997</v>
      </c>
    </row>
    <row r="47" spans="1:2">
      <c r="A47" s="2" t="s">
        <v>45</v>
      </c>
      <c r="B47">
        <v>4.0999999999999996</v>
      </c>
    </row>
    <row r="48" spans="1:2">
      <c r="A48" s="2" t="s">
        <v>46</v>
      </c>
      <c r="B48">
        <v>3.4018999999999999</v>
      </c>
    </row>
    <row r="49" spans="1:2">
      <c r="A49" s="2" t="s">
        <v>47</v>
      </c>
      <c r="B49">
        <v>2.5325628972160406</v>
      </c>
    </row>
    <row r="50" spans="1:2">
      <c r="A50" s="2" t="s">
        <v>48</v>
      </c>
      <c r="B50">
        <v>6.4</v>
      </c>
    </row>
    <row r="51" spans="1:2">
      <c r="A51" s="2" t="s">
        <v>49</v>
      </c>
      <c r="B51">
        <v>5.7</v>
      </c>
    </row>
    <row r="52" spans="1:2">
      <c r="A52" s="2" t="s">
        <v>50</v>
      </c>
      <c r="B52">
        <v>5.4</v>
      </c>
    </row>
    <row r="53" spans="1:2">
      <c r="A53" s="2" t="s">
        <v>51</v>
      </c>
      <c r="B53">
        <v>4.9000000000000004</v>
      </c>
    </row>
    <row r="54" spans="1:2">
      <c r="A54" s="2" t="s">
        <v>52</v>
      </c>
      <c r="B54">
        <v>5.2</v>
      </c>
    </row>
    <row r="55" spans="1:2">
      <c r="A55" s="2" t="s">
        <v>53</v>
      </c>
      <c r="B55">
        <v>7.9</v>
      </c>
    </row>
    <row r="56" spans="1:2">
      <c r="A56" s="2" t="s">
        <v>54</v>
      </c>
      <c r="B56">
        <v>6.3</v>
      </c>
    </row>
    <row r="57" spans="1:2">
      <c r="A57" s="2" t="s">
        <v>55</v>
      </c>
      <c r="B57">
        <v>3.6019000000000001</v>
      </c>
    </row>
    <row r="58" spans="1:2">
      <c r="A58" s="2" t="s">
        <v>56</v>
      </c>
      <c r="B58">
        <v>1.9</v>
      </c>
    </row>
    <row r="59" spans="1:2">
      <c r="A59" s="2" t="s">
        <v>57</v>
      </c>
      <c r="B59">
        <v>2.8018999999999998</v>
      </c>
    </row>
    <row r="60" spans="1:2">
      <c r="A60" s="2" t="s">
        <v>58</v>
      </c>
      <c r="B60">
        <v>2.4718736660475815</v>
      </c>
    </row>
    <row r="61" spans="1:2">
      <c r="A61" s="2" t="s">
        <v>59</v>
      </c>
      <c r="B61">
        <v>1.7</v>
      </c>
    </row>
    <row r="62" spans="1:2">
      <c r="A62" s="2" t="s">
        <v>60</v>
      </c>
      <c r="B62">
        <v>2.5</v>
      </c>
    </row>
    <row r="63" spans="1:2">
      <c r="A63" s="2" t="s">
        <v>61</v>
      </c>
      <c r="B63">
        <v>2.2999999999999998</v>
      </c>
    </row>
    <row r="64" spans="1:2">
      <c r="A64" s="2" t="s">
        <v>62</v>
      </c>
      <c r="B64">
        <v>1</v>
      </c>
    </row>
    <row r="65" spans="1:2">
      <c r="A65" s="2" t="s">
        <v>63</v>
      </c>
      <c r="B65">
        <v>5.7</v>
      </c>
    </row>
    <row r="66" spans="1:2">
      <c r="A66" s="2" t="s">
        <v>64</v>
      </c>
      <c r="B66">
        <v>5.7</v>
      </c>
    </row>
    <row r="67" spans="1:2">
      <c r="A67" s="2" t="s">
        <v>65</v>
      </c>
      <c r="B67">
        <v>6</v>
      </c>
    </row>
    <row r="68" spans="1:2">
      <c r="A68" s="2" t="s">
        <v>66</v>
      </c>
      <c r="B68">
        <v>5.6018999999999997</v>
      </c>
    </row>
    <row r="69" spans="1:2">
      <c r="A69" s="2" t="s">
        <v>67</v>
      </c>
      <c r="B69">
        <v>7.8</v>
      </c>
    </row>
    <row r="70" spans="1:2">
      <c r="A70" s="2" t="s">
        <v>68</v>
      </c>
      <c r="B70">
        <v>10.001899999999999</v>
      </c>
    </row>
    <row r="71" spans="1:2">
      <c r="A71" s="2" t="s">
        <v>69</v>
      </c>
      <c r="B71">
        <v>10.517044608743115</v>
      </c>
    </row>
    <row r="72" spans="1:2">
      <c r="A72" s="2" t="s">
        <v>70</v>
      </c>
      <c r="B72">
        <v>12.4</v>
      </c>
    </row>
    <row r="73" spans="1:2">
      <c r="A73" s="2" t="s">
        <v>71</v>
      </c>
      <c r="B73">
        <v>12.2</v>
      </c>
    </row>
    <row r="74" spans="1:2">
      <c r="A74" s="2" t="s">
        <v>72</v>
      </c>
      <c r="B74">
        <v>16.2</v>
      </c>
    </row>
    <row r="75" spans="1:2">
      <c r="A75" s="2" t="s">
        <v>73</v>
      </c>
      <c r="B75">
        <v>16.7</v>
      </c>
    </row>
    <row r="76" spans="1:2">
      <c r="A76" s="2" t="s">
        <v>74</v>
      </c>
      <c r="B76">
        <v>14.6</v>
      </c>
    </row>
    <row r="77" spans="1:2">
      <c r="A77" s="2" t="s">
        <v>75</v>
      </c>
      <c r="B77">
        <v>16.100000000000001</v>
      </c>
    </row>
    <row r="78" spans="1:2">
      <c r="A78" s="2" t="s">
        <v>76</v>
      </c>
      <c r="B78">
        <v>14</v>
      </c>
    </row>
    <row r="79" spans="1:2">
      <c r="A79" s="2" t="s">
        <v>77</v>
      </c>
      <c r="B79">
        <v>7.9019000000000004</v>
      </c>
    </row>
    <row r="80" spans="1:2">
      <c r="A80" s="2" t="s">
        <v>78</v>
      </c>
      <c r="B80">
        <v>8.1999999999999993</v>
      </c>
    </row>
    <row r="81" spans="1:2">
      <c r="A81" s="2" t="s">
        <v>79</v>
      </c>
      <c r="B81">
        <v>8.0018999999999991</v>
      </c>
    </row>
    <row r="82" spans="1:2">
      <c r="A82" s="2" t="s">
        <v>80</v>
      </c>
      <c r="B82">
        <v>6.3562609125276381</v>
      </c>
    </row>
    <row r="83" spans="1:2">
      <c r="A83" s="2" t="s">
        <v>81</v>
      </c>
      <c r="B83">
        <v>5.3</v>
      </c>
    </row>
    <row r="84" spans="1:2">
      <c r="A84" s="2" t="s">
        <v>82</v>
      </c>
      <c r="B84">
        <v>5.2</v>
      </c>
    </row>
    <row r="85" spans="1:2">
      <c r="A85" s="2" t="s">
        <v>83</v>
      </c>
      <c r="B85">
        <v>2.1</v>
      </c>
    </row>
    <row r="86" spans="1:2">
      <c r="A86" s="2" t="s">
        <v>84</v>
      </c>
      <c r="B86">
        <v>3.1</v>
      </c>
    </row>
    <row r="87" spans="1:2">
      <c r="A87" s="2" t="s">
        <v>85</v>
      </c>
      <c r="B87">
        <v>2.5</v>
      </c>
    </row>
    <row r="88" spans="1:2">
      <c r="A88" s="2" t="s">
        <v>86</v>
      </c>
      <c r="B88">
        <v>6.8</v>
      </c>
    </row>
    <row r="89" spans="1:2">
      <c r="A89" s="2" t="s">
        <v>87</v>
      </c>
      <c r="B89">
        <v>6.2</v>
      </c>
    </row>
    <row r="90" spans="1:2">
      <c r="A90" s="2" t="s">
        <v>88</v>
      </c>
      <c r="B90">
        <v>-0.90010000000000001</v>
      </c>
    </row>
    <row r="91" spans="1:2">
      <c r="A91" s="2" t="s">
        <v>89</v>
      </c>
      <c r="B91">
        <v>0.1</v>
      </c>
    </row>
    <row r="92" spans="1:2">
      <c r="A92" s="2" t="s">
        <v>90</v>
      </c>
      <c r="B92">
        <v>0.3019</v>
      </c>
    </row>
    <row r="93" spans="1:2">
      <c r="A93" s="2" t="s">
        <v>91</v>
      </c>
      <c r="B93">
        <v>0.6649882711006232</v>
      </c>
    </row>
    <row r="94" spans="1:2">
      <c r="A94" s="2" t="s">
        <v>92</v>
      </c>
      <c r="B94">
        <v>0.2</v>
      </c>
    </row>
    <row r="95" spans="1:2">
      <c r="A95" s="2" t="s">
        <v>93</v>
      </c>
      <c r="B95">
        <v>0.1</v>
      </c>
    </row>
    <row r="96" spans="1:2">
      <c r="A96" s="2" t="s">
        <v>94</v>
      </c>
      <c r="B96">
        <v>2</v>
      </c>
    </row>
    <row r="97" spans="1:2">
      <c r="A97" s="2" t="s">
        <v>95</v>
      </c>
      <c r="B97">
        <v>0.1</v>
      </c>
    </row>
    <row r="98" spans="1:2">
      <c r="A98" s="2" t="s">
        <v>96</v>
      </c>
      <c r="B98">
        <v>3.1</v>
      </c>
    </row>
    <row r="99" spans="1:2">
      <c r="A99" s="2" t="s">
        <v>97</v>
      </c>
      <c r="B99">
        <v>1.3</v>
      </c>
    </row>
    <row r="100" spans="1:2">
      <c r="A100" s="2" t="s">
        <v>98</v>
      </c>
      <c r="B100">
        <v>1.4</v>
      </c>
    </row>
    <row r="101" spans="1:2">
      <c r="A101" s="2" t="s">
        <v>99</v>
      </c>
      <c r="B101">
        <v>3.6019000000000001</v>
      </c>
    </row>
    <row r="102" spans="1:2">
      <c r="A102" s="2" t="s">
        <v>100</v>
      </c>
      <c r="B102">
        <v>3.6</v>
      </c>
    </row>
    <row r="103" spans="1:2">
      <c r="A103" s="2" t="s">
        <v>101</v>
      </c>
      <c r="B103">
        <v>3.7019000000000002</v>
      </c>
    </row>
    <row r="104" spans="1:2">
      <c r="A104" s="2" t="s">
        <v>102</v>
      </c>
      <c r="B104">
        <v>4.022536333022745</v>
      </c>
    </row>
    <row r="105" spans="1:2">
      <c r="A105" s="2" t="s">
        <v>103</v>
      </c>
      <c r="B105">
        <v>4.3</v>
      </c>
    </row>
    <row r="106" spans="1:2">
      <c r="A106" s="2" t="s">
        <v>104</v>
      </c>
      <c r="B106">
        <v>5.7</v>
      </c>
    </row>
    <row r="107" spans="1:2">
      <c r="A107" s="2" t="s">
        <v>105</v>
      </c>
      <c r="B107">
        <v>2.8</v>
      </c>
    </row>
    <row r="108" spans="1:2">
      <c r="A108" s="2" t="s">
        <v>106</v>
      </c>
      <c r="B108">
        <v>-6.8</v>
      </c>
    </row>
    <row r="109" spans="1:2">
      <c r="A109" s="2" t="s">
        <v>107</v>
      </c>
      <c r="B109">
        <v>-5.7</v>
      </c>
    </row>
    <row r="110" spans="1:2">
      <c r="A110" s="2" t="s">
        <v>108</v>
      </c>
      <c r="B110">
        <v>2.6</v>
      </c>
    </row>
    <row r="111" spans="1:2">
      <c r="A111" s="2" t="s">
        <v>109</v>
      </c>
      <c r="B111">
        <v>2.1</v>
      </c>
    </row>
    <row r="112" spans="1:2">
      <c r="A112" s="2" t="s">
        <v>110</v>
      </c>
      <c r="B112">
        <v>-9.8001000000000005</v>
      </c>
    </row>
    <row r="113" spans="1:2">
      <c r="A113" s="2" t="s">
        <v>111</v>
      </c>
      <c r="B113">
        <v>-10.3</v>
      </c>
    </row>
    <row r="114" spans="1:2">
      <c r="A114" s="2" t="s">
        <v>112</v>
      </c>
      <c r="B114">
        <v>1.6019000000000001</v>
      </c>
    </row>
    <row r="115" spans="1:2">
      <c r="A115" s="2" t="s">
        <v>113</v>
      </c>
      <c r="B115">
        <v>2.3263635534476466</v>
      </c>
    </row>
    <row r="116" spans="1:2">
      <c r="A116" s="2" t="s">
        <v>114</v>
      </c>
      <c r="B116">
        <v>2.6</v>
      </c>
    </row>
    <row r="117" spans="1:2">
      <c r="A117" s="2" t="s">
        <v>115</v>
      </c>
      <c r="B117">
        <v>2</v>
      </c>
    </row>
    <row r="118" spans="1:2">
      <c r="A118" s="2" t="s">
        <v>116</v>
      </c>
      <c r="B118">
        <v>3.6</v>
      </c>
    </row>
    <row r="119" spans="1:2">
      <c r="A119" s="2" t="s">
        <v>117</v>
      </c>
      <c r="B119">
        <v>3</v>
      </c>
    </row>
    <row r="120" spans="1:2">
      <c r="A120" s="2" t="s">
        <v>118</v>
      </c>
      <c r="B120">
        <v>2.5</v>
      </c>
    </row>
    <row r="121" spans="1:2">
      <c r="A121" s="2" t="s">
        <v>119</v>
      </c>
      <c r="B121">
        <v>3.5</v>
      </c>
    </row>
    <row r="122" spans="1:2">
      <c r="A122" s="2" t="s">
        <v>120</v>
      </c>
      <c r="B122">
        <v>3.2</v>
      </c>
    </row>
    <row r="123" spans="1:2">
      <c r="A123" s="2" t="s">
        <v>121</v>
      </c>
      <c r="B123">
        <v>8.1019000000000005</v>
      </c>
    </row>
    <row r="124" spans="1:2">
      <c r="A124" s="2" t="s">
        <v>122</v>
      </c>
      <c r="B124">
        <v>11.5</v>
      </c>
    </row>
    <row r="125" spans="1:2">
      <c r="A125" s="2" t="s">
        <v>123</v>
      </c>
      <c r="B125">
        <v>13.001899999999999</v>
      </c>
    </row>
    <row r="126" spans="1:2">
      <c r="A126" s="2" t="s">
        <v>124</v>
      </c>
      <c r="B126">
        <v>11.193886194869114</v>
      </c>
    </row>
    <row r="127" spans="1:2">
      <c r="A127" s="2" t="s">
        <v>125</v>
      </c>
      <c r="B127">
        <v>9.3000000000000007</v>
      </c>
    </row>
    <row r="128" spans="1:2">
      <c r="A128" s="2" t="s">
        <v>126</v>
      </c>
      <c r="B128">
        <v>11.1</v>
      </c>
    </row>
    <row r="129" spans="1:2">
      <c r="A129" s="2" t="s">
        <v>127</v>
      </c>
      <c r="B129">
        <v>18</v>
      </c>
    </row>
    <row r="130" spans="1:2">
      <c r="A130" s="2" t="s">
        <v>128</v>
      </c>
      <c r="B130">
        <v>9.3000000000000007</v>
      </c>
    </row>
    <row r="131" spans="1:2">
      <c r="A131" s="2" t="s">
        <v>129</v>
      </c>
      <c r="B131">
        <v>11</v>
      </c>
    </row>
    <row r="132" spans="1:2">
      <c r="A132" s="2" t="s">
        <v>130</v>
      </c>
      <c r="B132">
        <v>14</v>
      </c>
    </row>
    <row r="133" spans="1:2">
      <c r="A133" s="2" t="s">
        <v>131</v>
      </c>
      <c r="B133">
        <v>18.100000000000001</v>
      </c>
    </row>
    <row r="134" spans="1:2">
      <c r="A134" s="2" t="s">
        <v>132</v>
      </c>
      <c r="B134">
        <v>-7.0000999999999998</v>
      </c>
    </row>
    <row r="135" spans="1:2">
      <c r="A135" s="2" t="s">
        <v>133</v>
      </c>
      <c r="B135">
        <v>0.6</v>
      </c>
    </row>
    <row r="136" spans="1:2">
      <c r="A136" s="2" t="s">
        <v>134</v>
      </c>
      <c r="B136">
        <v>-1.7000999999999999</v>
      </c>
    </row>
    <row r="137" spans="1:2">
      <c r="A137" s="2" t="s">
        <v>135</v>
      </c>
      <c r="B137">
        <v>-1.5333576893378247</v>
      </c>
    </row>
    <row r="138" spans="1:2">
      <c r="A138" s="2" t="s">
        <v>136</v>
      </c>
      <c r="B138">
        <v>1.8</v>
      </c>
    </row>
    <row r="139" spans="1:2">
      <c r="A139" s="2" t="s">
        <v>137</v>
      </c>
      <c r="B139">
        <v>1</v>
      </c>
    </row>
    <row r="140" spans="1:2">
      <c r="A140" s="2" t="s">
        <v>138</v>
      </c>
      <c r="B140">
        <v>10.6</v>
      </c>
    </row>
    <row r="141" spans="1:2">
      <c r="A141" s="2" t="s">
        <v>139</v>
      </c>
      <c r="B141">
        <v>7</v>
      </c>
    </row>
    <row r="142" spans="1:2">
      <c r="A142" s="2" t="s">
        <v>140</v>
      </c>
      <c r="B142">
        <v>13</v>
      </c>
    </row>
    <row r="143" spans="1:2">
      <c r="A143" s="2" t="s">
        <v>141</v>
      </c>
      <c r="B143">
        <v>8.9</v>
      </c>
    </row>
    <row r="144" spans="1:2">
      <c r="A144" s="2" t="s">
        <v>142</v>
      </c>
      <c r="B144">
        <v>8.1</v>
      </c>
    </row>
    <row r="145" spans="1:2">
      <c r="A145" s="2" t="s">
        <v>143</v>
      </c>
      <c r="B145" s="4">
        <f>Utilidad_Millones!B145/Ingresos_Millones!B145*100</f>
        <v>3</v>
      </c>
    </row>
    <row r="146" spans="1:2">
      <c r="A146" s="2" t="s">
        <v>144</v>
      </c>
      <c r="B146" s="4">
        <f>Utilidad_Millones!B146/Ingresos_Millones!B146*100</f>
        <v>0.2</v>
      </c>
    </row>
    <row r="147" spans="1:2">
      <c r="A147" s="2" t="s">
        <v>145</v>
      </c>
      <c r="B147" s="4">
        <f>Utilidad_Millones!B147/Ingresos_Millones!B147*100</f>
        <v>1.0000000000000002</v>
      </c>
    </row>
    <row r="148" spans="1:2">
      <c r="A148" s="2" t="s">
        <v>146</v>
      </c>
      <c r="B148" s="4">
        <f>Utilidad_Millones!B148/Ingresos_Millones!B148*100</f>
        <v>8.0000000000000018</v>
      </c>
    </row>
    <row r="149" spans="1:2">
      <c r="A149" s="2" t="s">
        <v>147</v>
      </c>
      <c r="B149" s="4">
        <f>Utilidad_Millones!B149/Ingresos_Millones!B149*100</f>
        <v>3.5999999999999996</v>
      </c>
    </row>
    <row r="150" spans="1:2">
      <c r="A150" s="2" t="s">
        <v>148</v>
      </c>
      <c r="B150" s="4">
        <f>Utilidad_Millones!B150/Ingresos_Millones!B150*100</f>
        <v>5</v>
      </c>
    </row>
    <row r="151" spans="1:2">
      <c r="A151" s="2" t="s">
        <v>149</v>
      </c>
      <c r="B151" s="4">
        <f>Utilidad_Millones!B151/Ingresos_Millones!B151*100</f>
        <v>2.2999999999999998</v>
      </c>
    </row>
    <row r="152" spans="1:2">
      <c r="A152" s="2" t="s">
        <v>150</v>
      </c>
      <c r="B152" s="4">
        <f>Utilidad_Millones!B152/Ingresos_Millones!B152*100</f>
        <v>1.2999999999999998</v>
      </c>
    </row>
    <row r="153" spans="1:2">
      <c r="A153" s="2" t="s">
        <v>151</v>
      </c>
      <c r="B153" s="4">
        <f>Utilidad_Millones!B153/Ingresos_Millones!B153*100</f>
        <v>2.8000000000000007</v>
      </c>
    </row>
    <row r="154" spans="1:2">
      <c r="A154" s="2" t="s">
        <v>152</v>
      </c>
      <c r="B154" s="4">
        <f>Utilidad_Millones!B154/Ingresos_Millones!B154*100</f>
        <v>1.441174674888577</v>
      </c>
    </row>
    <row r="155" spans="1:2">
      <c r="A155" s="2" t="s">
        <v>153</v>
      </c>
      <c r="B155" s="4">
        <f>Utilidad_Millones!B155/Ingresos_Millones!B155*100</f>
        <v>3.9198423877869564</v>
      </c>
    </row>
    <row r="156" spans="1:2">
      <c r="A156" s="2" t="s">
        <v>154</v>
      </c>
      <c r="B156" s="4">
        <f>Utilidad_Millones!B156/Ingresos_Millones!B156*100</f>
        <v>-123.95659757749388</v>
      </c>
    </row>
    <row r="157" spans="1:2">
      <c r="A157" s="2" t="s">
        <v>155</v>
      </c>
      <c r="B157" s="4">
        <f>Utilidad_Millones!B157/Ingresos_Millones!B157*100</f>
        <v>-95.875921946686816</v>
      </c>
    </row>
    <row r="158" spans="1:2">
      <c r="A158" s="2" t="s">
        <v>156</v>
      </c>
      <c r="B158" s="4">
        <f>Utilidad_Millones!B158/Ingresos_Millones!B158*100</f>
        <v>-3.6758950601342142</v>
      </c>
    </row>
    <row r="159" spans="1:2">
      <c r="A159" s="2" t="s">
        <v>157</v>
      </c>
      <c r="B159" s="4">
        <f>Utilidad_Millones!B159/Ingresos_Millones!B159*100</f>
        <v>-9.1934731468291844</v>
      </c>
    </row>
    <row r="160" spans="1:2">
      <c r="A160" s="2" t="s">
        <v>158</v>
      </c>
      <c r="B160" s="4">
        <f>Utilidad_Millones!B160/Ingresos_Millones!B160*100</f>
        <v>-21.963853411681836</v>
      </c>
    </row>
    <row r="161" spans="1:2">
      <c r="A161" s="2" t="s">
        <v>159</v>
      </c>
      <c r="B161" s="4">
        <f>Utilidad_Millones!B161/Ingresos_Millones!B161*100</f>
        <v>-9.6414467612896448</v>
      </c>
    </row>
    <row r="162" spans="1:2">
      <c r="A162" s="2" t="s">
        <v>160</v>
      </c>
      <c r="B162" s="4">
        <f>Utilidad_Millones!B162/Ingresos_Millones!B162*100</f>
        <v>-4.548151581723876</v>
      </c>
    </row>
    <row r="163" spans="1:2">
      <c r="A163" s="2" t="s">
        <v>161</v>
      </c>
      <c r="B163" s="4">
        <f>Utilidad_Millones!B163/Ingresos_Millones!B163*100</f>
        <v>-3.5072015623728539</v>
      </c>
    </row>
    <row r="164" spans="1:2">
      <c r="A164" s="2" t="s">
        <v>162</v>
      </c>
      <c r="B164">
        <f>Utilidad_Millones!B164/Ingresos_Millones!B164*100</f>
        <v>2.2862760020294264</v>
      </c>
    </row>
    <row r="165" spans="1:2">
      <c r="A165" s="2" t="s">
        <v>163</v>
      </c>
      <c r="B165">
        <f>Utilidad_Millones!B165/Ingresos_Millones!B165*100</f>
        <v>10.253980640246734</v>
      </c>
    </row>
    <row r="166" spans="1:2">
      <c r="A166" s="2" t="s">
        <v>164</v>
      </c>
      <c r="B166">
        <f>Utilidad_Millones!B166/Ingresos_Millones!B166*100</f>
        <v>15.413321548697553</v>
      </c>
    </row>
    <row r="167" spans="1:2">
      <c r="A167" s="2" t="s">
        <v>165</v>
      </c>
      <c r="B167">
        <f>Utilidad_Millones!B167/Ingresos_Millones!B167*100</f>
        <v>9.6707079046341793</v>
      </c>
    </row>
    <row r="168" spans="1:2">
      <c r="A168" s="2" t="s">
        <v>166</v>
      </c>
      <c r="B168">
        <f>Utilidad_Millones!B168/Ingresos_Millones!B168*100</f>
        <v>11.271244315228625</v>
      </c>
    </row>
    <row r="169" spans="1:2">
      <c r="A169" s="2" t="s">
        <v>167</v>
      </c>
      <c r="B169">
        <f>Utilidad_Millones!B169/Ingresos_Millones!B169*100</f>
        <v>4.6155622620097727</v>
      </c>
    </row>
    <row r="170" spans="1:2">
      <c r="A170" s="2" t="s">
        <v>168</v>
      </c>
      <c r="B170">
        <f>Utilidad_Millones!B170/Ingresos_Millones!B170*100</f>
        <v>5.4258049958557768</v>
      </c>
    </row>
    <row r="171" spans="1:2">
      <c r="A171" s="2" t="s">
        <v>169</v>
      </c>
      <c r="B171">
        <f>Utilidad_Millones!B171/Ingresos_Millones!B171*100</f>
        <v>-0.64230823525632741</v>
      </c>
    </row>
    <row r="172" spans="1:2">
      <c r="A172" s="2" t="s">
        <v>170</v>
      </c>
      <c r="B172">
        <f>Utilidad_Millones!B172/Ingresos_Millones!B172*100</f>
        <v>2.4711587846358878</v>
      </c>
    </row>
    <row r="173" spans="1:2">
      <c r="A173" s="2" t="s">
        <v>171</v>
      </c>
      <c r="B173">
        <f>Utilidad_Millones!B173/Ingresos_Millones!B173*100</f>
        <v>5.1456574028666227</v>
      </c>
    </row>
    <row r="174" spans="1:2">
      <c r="A174" s="2" t="s">
        <v>172</v>
      </c>
      <c r="B174">
        <f>Utilidad_Millones!B174/Ingresos_Millones!B174*100</f>
        <v>5.4965302754772418</v>
      </c>
    </row>
    <row r="175" spans="1:2">
      <c r="A175" s="2" t="s">
        <v>173</v>
      </c>
      <c r="B175">
        <f>Utilidad_Millones!B175/Ingresos_Millones!B175*100</f>
        <v>3.9783040970212431</v>
      </c>
    </row>
    <row r="176" spans="1:2">
      <c r="A176" s="2" t="s">
        <v>174</v>
      </c>
      <c r="B176">
        <f>Utilidad_Millones!B176/Ingresos_Millones!B176*100</f>
        <v>6.1478643417377734</v>
      </c>
    </row>
    <row r="177" spans="1:2">
      <c r="A177" s="2" t="s">
        <v>175</v>
      </c>
      <c r="B177">
        <f>Utilidad_Millones!B177/Ingresos_Millones!B177*100</f>
        <v>5.183518242523359</v>
      </c>
    </row>
    <row r="178" spans="1:2">
      <c r="A178" s="2" t="s">
        <v>176</v>
      </c>
      <c r="B178">
        <f>Utilidad_Millones!B178/Ingresos_Millones!B178*100</f>
        <v>5.7192850403411244</v>
      </c>
    </row>
    <row r="179" spans="1:2">
      <c r="A179" s="2" t="s">
        <v>177</v>
      </c>
      <c r="B179">
        <f>Utilidad_Millones!B179/Ingresos_Millones!B179*100</f>
        <v>3.635402870864604</v>
      </c>
    </row>
    <row r="180" spans="1:2">
      <c r="A180" s="2" t="s">
        <v>178</v>
      </c>
      <c r="B180">
        <f>Utilidad_Millones!B180/Ingresos_Millones!B180*100</f>
        <v>1.3142839397942343</v>
      </c>
    </row>
    <row r="181" spans="1:2">
      <c r="A181" s="2" t="s">
        <v>179</v>
      </c>
      <c r="B181">
        <f>Utilidad_Millones!B181/Ingresos_Millones!B181*100</f>
        <v>0.74193368437136953</v>
      </c>
    </row>
    <row r="182" spans="1:2">
      <c r="A182" s="2" t="s">
        <v>180</v>
      </c>
      <c r="B182">
        <f>Utilidad_Millones!B182/Ingresos_Millones!B182*100</f>
        <v>4.81822057450609</v>
      </c>
    </row>
    <row r="183" spans="1:2">
      <c r="A183" s="2" t="s">
        <v>181</v>
      </c>
      <c r="B183">
        <f>Utilidad_Millones!B183/Ingresos_Millones!B183*100</f>
        <v>4.3545816958994692</v>
      </c>
    </row>
    <row r="184" spans="1:2">
      <c r="A184" s="2" t="s">
        <v>182</v>
      </c>
      <c r="B184">
        <f>Utilidad_Millones!B184/Ingresos_Millones!B184*100</f>
        <v>6.3703094067664656</v>
      </c>
    </row>
    <row r="185" spans="1:2">
      <c r="A185" s="2" t="s">
        <v>183</v>
      </c>
      <c r="B185">
        <f>Utilidad_Millones!B185/Ingresos_Millones!B185*100</f>
        <v>8.3016158932280444</v>
      </c>
    </row>
    <row r="186" spans="1:2">
      <c r="A186" s="2" t="s">
        <v>184</v>
      </c>
      <c r="B186">
        <f>Utilidad_Millones!B186/Ingresos_Millones!B186*100</f>
        <v>5.7079035650250445</v>
      </c>
    </row>
    <row r="187" spans="1:2">
      <c r="A187" s="2" t="s">
        <v>185</v>
      </c>
      <c r="B187">
        <f>Utilidad_Millones!B187/Ingresos_Millones!B187*100</f>
        <v>8.8085755639756247</v>
      </c>
    </row>
    <row r="188" spans="1:2">
      <c r="A188" s="2" t="s">
        <v>186</v>
      </c>
      <c r="B188">
        <f>Utilidad_Millones!B188/Ingresos_Millones!B188*100</f>
        <v>6.911036132228582</v>
      </c>
    </row>
    <row r="189" spans="1:2">
      <c r="A189" s="2" t="s">
        <v>187</v>
      </c>
      <c r="B189">
        <f>Utilidad_Millones!B189/Ingresos_Millones!B189*100</f>
        <v>0.38535300880852569</v>
      </c>
    </row>
    <row r="190" spans="1:2">
      <c r="A190" s="2" t="s">
        <v>188</v>
      </c>
      <c r="B190">
        <f>Utilidad_Millones!B190/Ingresos_Millones!B190*100</f>
        <v>0.21344021637298272</v>
      </c>
    </row>
    <row r="191" spans="1:2">
      <c r="A191" s="2" t="s">
        <v>189</v>
      </c>
      <c r="B191">
        <f>Utilidad_Millones!B191/Ingresos_Millones!B191*100</f>
        <v>0.4583292907732609</v>
      </c>
    </row>
    <row r="192" spans="1:2">
      <c r="A192" s="2" t="s">
        <v>190</v>
      </c>
      <c r="B192">
        <f>Utilidad_Millones!B192/Ingresos_Millones!B192*100</f>
        <v>1.1025998142989786</v>
      </c>
    </row>
    <row r="193" spans="1:2">
      <c r="A193" s="2" t="s">
        <v>191</v>
      </c>
      <c r="B193">
        <f>Utilidad_Millones!B193/Ingresos_Millones!B193*100</f>
        <v>1.0895764110128576</v>
      </c>
    </row>
    <row r="194" spans="1:2">
      <c r="A194" s="2" t="s">
        <v>192</v>
      </c>
      <c r="B194">
        <f>Utilidad_Millones!B194/Ingresos_Millones!B194*100</f>
        <v>4.0270698509058285</v>
      </c>
    </row>
    <row r="195" spans="1:2">
      <c r="A195" s="2" t="s">
        <v>193</v>
      </c>
      <c r="B195">
        <f>Utilidad_Millones!B195/Ingresos_Millones!B195*100</f>
        <v>3.9651346812871733</v>
      </c>
    </row>
    <row r="196" spans="1:2">
      <c r="A196" s="2" t="s">
        <v>194</v>
      </c>
      <c r="B196">
        <f>Utilidad_Millones!B196/Ingresos_Millones!B196*100</f>
        <v>2.5725735550548285</v>
      </c>
    </row>
    <row r="197" spans="1:2">
      <c r="A197" s="2" t="s">
        <v>195</v>
      </c>
      <c r="B197">
        <f>Utilidad_Millones!B197/Ingresos_Millones!B197*100</f>
        <v>2.8655887775211375</v>
      </c>
    </row>
    <row r="198" spans="1:2">
      <c r="A198" s="2" t="s">
        <v>196</v>
      </c>
      <c r="B198">
        <f>Utilidad_Millones!B198/Ingresos_Millones!B198*100</f>
        <v>2.633364422906511</v>
      </c>
    </row>
    <row r="199" spans="1:2">
      <c r="A199" s="2" t="s">
        <v>197</v>
      </c>
      <c r="B199">
        <f>Utilidad_Millones!B199/Ingresos_Millones!B199*100</f>
        <v>1.5646783385599661</v>
      </c>
    </row>
    <row r="200" spans="1:2">
      <c r="A200" s="2" t="s">
        <v>198</v>
      </c>
      <c r="B200">
        <f>Utilidad_Millones!B200/Ingresos_Millones!B200*100</f>
        <v>2.3631162266928922</v>
      </c>
    </row>
    <row r="201" spans="1:2">
      <c r="A201" s="2" t="s">
        <v>199</v>
      </c>
      <c r="B201">
        <f>Utilidad_Millones!B201/Ingresos_Millones!B201*100</f>
        <v>2.4264798854599734</v>
      </c>
    </row>
    <row r="202" spans="1:2">
      <c r="A202" s="2" t="s">
        <v>200</v>
      </c>
      <c r="B202">
        <f>Utilidad_Millones!B202/Ingresos_Millones!B202*100</f>
        <v>2.6995750279547348</v>
      </c>
    </row>
    <row r="203" spans="1:2">
      <c r="A203" s="2" t="s">
        <v>201</v>
      </c>
      <c r="B203">
        <f>Utilidad_Millones!B203/Ingresos_Millones!B203*100</f>
        <v>3.0982584792512053</v>
      </c>
    </row>
    <row r="204" spans="1:2">
      <c r="A204" s="2" t="s">
        <v>202</v>
      </c>
      <c r="B204">
        <f>Utilidad_Millones!B204/Ingresos_Millones!B204*100</f>
        <v>3.2766790049931633</v>
      </c>
    </row>
    <row r="205" spans="1:2">
      <c r="A205" s="2" t="s">
        <v>203</v>
      </c>
      <c r="B205">
        <f>Utilidad_Millones!B205/Ingresos_Millones!B205*100</f>
        <v>3.4106718922983115</v>
      </c>
    </row>
    <row r="206" spans="1:2">
      <c r="A206" s="2" t="s">
        <v>204</v>
      </c>
      <c r="B206">
        <f>Utilidad_Millones!B206/Ingresos_Millones!B206*100</f>
        <v>2.438032764481799</v>
      </c>
    </row>
    <row r="207" spans="1:2">
      <c r="A207" s="2" t="s">
        <v>205</v>
      </c>
      <c r="B207">
        <f>Utilidad_Millones!B207/Ingresos_Millones!B207*100</f>
        <v>2.1582300997579082</v>
      </c>
    </row>
    <row r="208" spans="1:2">
      <c r="A208" s="2" t="s">
        <v>206</v>
      </c>
      <c r="B208">
        <f>Utilidad_Millones!B208/Ingresos_Millones!B208*100</f>
        <v>1.8998556709870102</v>
      </c>
    </row>
    <row r="209" spans="1:2">
      <c r="A209" s="2" t="s">
        <v>207</v>
      </c>
      <c r="B209">
        <f>Utilidad_Millones!B209/Ingresos_Millones!B209*100</f>
        <v>2.3242561709297211</v>
      </c>
    </row>
    <row r="210" spans="1:2">
      <c r="A210" s="2" t="s">
        <v>208</v>
      </c>
      <c r="B210">
        <f>Utilidad_Millones!B210/Ingresos_Millones!B210*100</f>
        <v>2.1349421867002674</v>
      </c>
    </row>
    <row r="211" spans="1:2">
      <c r="A211" s="2" t="s">
        <v>209</v>
      </c>
      <c r="B211">
        <f>Utilidad_Millones!B211/Ingresos_Millones!B211*100</f>
        <v>1.5258501176938051</v>
      </c>
    </row>
    <row r="212" spans="1:2">
      <c r="A212" s="2" t="s">
        <v>210</v>
      </c>
      <c r="B212">
        <f>Utilidad_Millones!B212/Ingresos_Millones!B212*100</f>
        <v>4.3607532956118478</v>
      </c>
    </row>
    <row r="213" spans="1:2">
      <c r="A213" s="2" t="s">
        <v>211</v>
      </c>
      <c r="B213">
        <f>Utilidad_Millones!B213/Ingresos_Millones!B213*100</f>
        <v>7.0960652715410282</v>
      </c>
    </row>
    <row r="214" spans="1:2">
      <c r="A214" s="2" t="s">
        <v>212</v>
      </c>
      <c r="B214">
        <f>Utilidad_Millones!B214/Ingresos_Millones!B214*100</f>
        <v>7.9800842057157997</v>
      </c>
    </row>
    <row r="215" spans="1:2">
      <c r="A215" s="2" t="s">
        <v>213</v>
      </c>
      <c r="B215">
        <f>Utilidad_Millones!B215/Ingresos_Millones!B215*100</f>
        <v>8.1423854439464467</v>
      </c>
    </row>
    <row r="216" spans="1:2">
      <c r="A216" s="2" t="s">
        <v>214</v>
      </c>
      <c r="B216">
        <f>Utilidad_Millones!B216/Ingresos_Millones!B216*100</f>
        <v>6.6351386369525782</v>
      </c>
    </row>
    <row r="217" spans="1:2">
      <c r="A217" s="2" t="s">
        <v>215</v>
      </c>
      <c r="B217">
        <f>Utilidad_Millones!B217/Ingresos_Millones!B217*100</f>
        <v>6.2293662788138446</v>
      </c>
    </row>
    <row r="218" spans="1:2">
      <c r="A218" s="2" t="s">
        <v>216</v>
      </c>
      <c r="B218">
        <f>Utilidad_Millones!B218/Ingresos_Millones!B218*100</f>
        <v>6.936800437940879</v>
      </c>
    </row>
    <row r="219" spans="1:2">
      <c r="A219" s="2" t="s">
        <v>217</v>
      </c>
      <c r="B219">
        <f>Utilidad_Millones!B219/Ingresos_Millones!B219*100</f>
        <v>8.2502180376649097</v>
      </c>
    </row>
    <row r="220" spans="1:2">
      <c r="A220" s="2" t="s">
        <v>218</v>
      </c>
      <c r="B220">
        <f>Utilidad_Millones!B220/Ingresos_Millones!B220*100</f>
        <v>9.082698110566529</v>
      </c>
    </row>
    <row r="221" spans="1:2">
      <c r="A221" s="2" t="s">
        <v>219</v>
      </c>
      <c r="B221">
        <f>Utilidad_Millones!B221/Ingresos_Millones!B221*100</f>
        <v>6.5976566114639645</v>
      </c>
    </row>
    <row r="222" spans="1:2">
      <c r="A222" s="2" t="s">
        <v>220</v>
      </c>
      <c r="B222">
        <f>Utilidad_Millones!B222/Ingresos_Millones!B222*100</f>
        <v>3.5411222788321859</v>
      </c>
    </row>
    <row r="223" spans="1:2">
      <c r="A223" s="2" t="s">
        <v>221</v>
      </c>
      <c r="B223">
        <f>Utilidad_Millones!B223/Ingresos_Millones!B223*100</f>
        <v>4.6470149495735642</v>
      </c>
    </row>
    <row r="224" spans="1:2">
      <c r="A224" s="2" t="s">
        <v>222</v>
      </c>
      <c r="B224">
        <f>Utilidad_Millones!B224/Ingresos_Millones!B224*100</f>
        <v>4.4811253050093303</v>
      </c>
    </row>
    <row r="225" spans="1:2">
      <c r="A225" s="2" t="s">
        <v>223</v>
      </c>
      <c r="B225">
        <f>Utilidad_Millones!B225/Ingresos_Millones!B225*100</f>
        <v>5.1363226986163042</v>
      </c>
    </row>
    <row r="226" spans="1:2">
      <c r="A226" s="2" t="s">
        <v>224</v>
      </c>
      <c r="B226">
        <f>Utilidad_Millones!B226/Ingresos_Millones!B226*100</f>
        <v>5.9431371970121933</v>
      </c>
    </row>
    <row r="227" spans="1:2">
      <c r="A227" s="2" t="s">
        <v>225</v>
      </c>
      <c r="B227">
        <f>Utilidad_Millones!B227/Ingresos_Millones!B227*100</f>
        <v>5.5727809027301412</v>
      </c>
    </row>
    <row r="228" spans="1:2">
      <c r="A228" s="2" t="s">
        <v>226</v>
      </c>
      <c r="B228">
        <f>Utilidad_Millones!B228/Ingresos_Millones!B228*100</f>
        <v>5.6237293947632692</v>
      </c>
    </row>
    <row r="229" spans="1:2">
      <c r="A229" s="2" t="s">
        <v>227</v>
      </c>
      <c r="B229">
        <f>Utilidad_Millones!B229/Ingresos_Millones!B229*100</f>
        <v>4.4761735690192994</v>
      </c>
    </row>
    <row r="230" spans="1:2">
      <c r="A230" s="2" t="s">
        <v>228</v>
      </c>
      <c r="B230">
        <f>Utilidad_Millones!B230/Ingresos_Millones!B230*100</f>
        <v>2.3187429166539038</v>
      </c>
    </row>
    <row r="231" spans="1:2">
      <c r="A231" s="2" t="s">
        <v>229</v>
      </c>
      <c r="B231">
        <f>Utilidad_Millones!B231/Ingresos_Millones!B231*100</f>
        <v>4.1774736493570996</v>
      </c>
    </row>
    <row r="232" spans="1:2">
      <c r="A232" s="2" t="s">
        <v>230</v>
      </c>
      <c r="B232">
        <f>Utilidad_Millones!B232/Ingresos_Millones!B232*100</f>
        <v>1.5644820295983086</v>
      </c>
    </row>
    <row r="233" spans="1:2">
      <c r="A233" s="2" t="s">
        <v>231</v>
      </c>
      <c r="B233" s="4">
        <f>Utilidad_Millones!B233/Ingresos_Millones!B233*100</f>
        <v>2.0228988037172053</v>
      </c>
    </row>
    <row r="234" spans="1:2">
      <c r="A234" s="2" t="s">
        <v>232</v>
      </c>
      <c r="B234" s="4">
        <f>Utilidad_Millones!B234/Ingresos_Millones!B234*100</f>
        <v>-6.5100997809686048</v>
      </c>
    </row>
    <row r="235" spans="1:2">
      <c r="A235" s="2" t="s">
        <v>233</v>
      </c>
      <c r="B235" s="4">
        <f>Utilidad_Millones!B235/Ingresos_Millones!B235*100</f>
        <v>1.4193025141930251</v>
      </c>
    </row>
    <row r="236" spans="1:2">
      <c r="A236" s="2" t="s">
        <v>234</v>
      </c>
      <c r="B236" s="4">
        <f>Utilidad_Millones!B236/Ingresos_Millones!B236*100</f>
        <v>1.4722762888655987</v>
      </c>
    </row>
    <row r="237" spans="1:2">
      <c r="A237" s="2" t="s">
        <v>235</v>
      </c>
      <c r="B237">
        <f>Utilidad_Millones!B237/Ingresos_Millones!B237*100</f>
        <v>7.9025693980440987</v>
      </c>
    </row>
    <row r="238" spans="1:2">
      <c r="A238" s="2" t="s">
        <v>236</v>
      </c>
      <c r="B238">
        <f>Utilidad_Millones!B238/Ingresos_Millones!B238*100</f>
        <v>9.2909219949674178</v>
      </c>
    </row>
    <row r="239" spans="1:2">
      <c r="A239" s="2" t="s">
        <v>237</v>
      </c>
      <c r="B239">
        <f>Utilidad_Millones!B239/Ingresos_Millones!B239*100</f>
        <v>10.121991427629409</v>
      </c>
    </row>
    <row r="240" spans="1:2">
      <c r="A240" s="2" t="s">
        <v>238</v>
      </c>
      <c r="B240">
        <f>Utilidad_Millones!B240/Ingresos_Millones!B240*100</f>
        <v>7.5445651521517316</v>
      </c>
    </row>
    <row r="241" spans="1:2">
      <c r="A241" s="2" t="s">
        <v>278</v>
      </c>
      <c r="B241">
        <f>Utilidad_Millones!B241/Ingresos_Millones!B241*100</f>
        <v>7.6688604087287837</v>
      </c>
    </row>
    <row r="242" spans="1:2">
      <c r="A242" s="2" t="s">
        <v>240</v>
      </c>
      <c r="B242">
        <f>Utilidad_Millones!B242/Ingresos_Millones!B242*100</f>
        <v>7.0279306261753858</v>
      </c>
    </row>
    <row r="243" spans="1:2">
      <c r="A243" s="2" t="s">
        <v>241</v>
      </c>
      <c r="B243">
        <f>Utilidad_Millones!B243/Ingresos_Millones!B243*100</f>
        <v>13.944589009643348</v>
      </c>
    </row>
    <row r="244" spans="1:2">
      <c r="A244" s="2" t="s">
        <v>242</v>
      </c>
      <c r="B244">
        <f>Utilidad_Millones!B244/Ingresos_Millones!B244*100</f>
        <v>3.8993469074145213</v>
      </c>
    </row>
    <row r="245" spans="1:2">
      <c r="A245" s="2" t="s">
        <v>243</v>
      </c>
      <c r="B245">
        <f>Utilidad_Millones!B245/Ingresos_Millones!B245*100</f>
        <v>3.3735490879981707</v>
      </c>
    </row>
    <row r="246" spans="1:2">
      <c r="A246" s="2" t="s">
        <v>244</v>
      </c>
      <c r="B246">
        <f>Utilidad_Millones!B246/Ingresos_Millones!B246*100</f>
        <v>28.361302400213944</v>
      </c>
    </row>
    <row r="247" spans="1:2">
      <c r="A247" s="2" t="s">
        <v>245</v>
      </c>
      <c r="B247">
        <f>Utilidad_Millones!B247/Ingresos_Millones!B247*100</f>
        <v>31.687673238847342</v>
      </c>
    </row>
    <row r="248" spans="1:2">
      <c r="A248" s="2" t="s">
        <v>246</v>
      </c>
      <c r="B248">
        <f>Utilidad_Millones!B248/Ingresos_Millones!B248*100</f>
        <v>27.559720099734577</v>
      </c>
    </row>
    <row r="249" spans="1:2">
      <c r="A249" s="2" t="s">
        <v>247</v>
      </c>
      <c r="B249">
        <f>Utilidad_Millones!B249/Ingresos_Millones!B249*100</f>
        <v>30.07890663344282</v>
      </c>
    </row>
    <row r="250" spans="1:2">
      <c r="A250" s="2" t="s">
        <v>248</v>
      </c>
      <c r="B250">
        <f>Utilidad_Millones!B250/Ingresos_Millones!B250*100</f>
        <v>20.849649934733595</v>
      </c>
    </row>
    <row r="251" spans="1:2">
      <c r="A251" s="2" t="s">
        <v>249</v>
      </c>
      <c r="B251">
        <f>Utilidad_Millones!B251/Ingresos_Millones!B251*100</f>
        <v>24.22093911862104</v>
      </c>
    </row>
    <row r="252" spans="1:2">
      <c r="A252" s="2" t="s">
        <v>279</v>
      </c>
      <c r="B252">
        <f>Utilidad_Millones!B252/Ingresos_Millones!B252*100</f>
        <v>-21.39714939292627</v>
      </c>
    </row>
    <row r="253" spans="1:2">
      <c r="A253" s="2" t="s">
        <v>251</v>
      </c>
      <c r="B253">
        <f>Utilidad_Millones!B253/Ingresos_Millones!B253*100</f>
        <v>29.961062914133478</v>
      </c>
    </row>
    <row r="254" spans="1:2">
      <c r="A254" s="2" t="s">
        <v>252</v>
      </c>
      <c r="B254">
        <f>Utilidad_Millones!B254/Ingresos_Millones!B254*100</f>
        <v>31.516400897350387</v>
      </c>
    </row>
    <row r="255" spans="1:2">
      <c r="A255" s="2" t="s">
        <v>253</v>
      </c>
      <c r="B255">
        <f>Utilidad_Millones!B255/Ingresos_Millones!B255*100</f>
        <v>26.94095215396532</v>
      </c>
    </row>
    <row r="256" spans="1:2">
      <c r="A256" s="2" t="s">
        <v>254</v>
      </c>
      <c r="B256">
        <f>Utilidad_Millones!B256/Ingresos_Millones!B256*100</f>
        <v>29.266968325791854</v>
      </c>
    </row>
    <row r="257" spans="1:2">
      <c r="A257" s="2" t="s">
        <v>255</v>
      </c>
      <c r="B257">
        <f>Utilidad_Millones!B257/Ingresos_Millones!B257*100</f>
        <v>45.654862121154913</v>
      </c>
    </row>
    <row r="258" spans="1:2">
      <c r="A258" s="2" t="s">
        <v>256</v>
      </c>
      <c r="B258">
        <f>Utilidad_Millones!B258/Ingresos_Millones!B258*100</f>
        <v>46.585067886952274</v>
      </c>
    </row>
    <row r="259" spans="1:2">
      <c r="A259" s="2" t="s">
        <v>257</v>
      </c>
      <c r="B259">
        <f>Utilidad_Millones!B259/Ingresos_Millones!B259*100</f>
        <v>32.419571858488922</v>
      </c>
    </row>
    <row r="260" spans="1:2">
      <c r="A260" s="2" t="s">
        <v>258</v>
      </c>
      <c r="B260">
        <f>Utilidad_Millones!B260/Ingresos_Millones!B260*100</f>
        <v>24.95984276858038</v>
      </c>
    </row>
    <row r="261" spans="1:2">
      <c r="A261" s="2" t="s">
        <v>259</v>
      </c>
      <c r="B261">
        <f>Utilidad_Millones!B261/Ingresos_Millones!B261*100</f>
        <v>48.857187940988567</v>
      </c>
    </row>
    <row r="262" spans="1:2">
      <c r="A262" s="2" t="s">
        <v>260</v>
      </c>
      <c r="B262">
        <f>Utilidad_Millones!B262/Ingresos_Millones!B262*100</f>
        <v>16.436162894580985</v>
      </c>
    </row>
    <row r="263" spans="1:2">
      <c r="A263" s="2" t="s">
        <v>280</v>
      </c>
      <c r="B263">
        <f>Utilidad_Millones!B263/Ingresos_Millones!B263*100</f>
        <v>22.075826835170744</v>
      </c>
    </row>
    <row r="264" spans="1:2">
      <c r="A264" s="2" t="s">
        <v>262</v>
      </c>
      <c r="B264">
        <f>Utilidad_Millones!B264/Ingresos_Millones!B264*100</f>
        <v>-2.1258668740683131</v>
      </c>
    </row>
    <row r="265" spans="1:2">
      <c r="A265" s="2" t="s">
        <v>263</v>
      </c>
      <c r="B265">
        <f>Utilidad_Millones!B265/Ingresos_Millones!B265*100</f>
        <v>17.769652650822671</v>
      </c>
    </row>
    <row r="266" spans="1:2">
      <c r="A266" s="2" t="s">
        <v>264</v>
      </c>
      <c r="B266">
        <f>Utilidad_Millones!B266/Ingresos_Millones!B266*100</f>
        <v>6.0964373464373462</v>
      </c>
    </row>
    <row r="267" spans="1:2">
      <c r="A267" s="2" t="s">
        <v>265</v>
      </c>
      <c r="B267">
        <f>Utilidad_Millones!B267/Ingresos_Millones!B267*100</f>
        <v>6.090011711560984</v>
      </c>
    </row>
    <row r="268" spans="1:2">
      <c r="A268" s="2" t="s">
        <v>266</v>
      </c>
      <c r="B268">
        <f>Utilidad_Millones!B268/Ingresos_Millones!B268*100</f>
        <v>16.279577721150346</v>
      </c>
    </row>
    <row r="269" spans="1:2">
      <c r="A269" s="2" t="s">
        <v>267</v>
      </c>
      <c r="B269">
        <f>Utilidad_Millones!B269/Ingresos_Millones!B269*100</f>
        <v>13.715399610136453</v>
      </c>
    </row>
    <row r="270" spans="1:2">
      <c r="A270" s="2" t="s">
        <v>268</v>
      </c>
      <c r="B270">
        <f>Utilidad_Millones!B270/Ingresos_Millones!B270*100</f>
        <v>17.714051618189266</v>
      </c>
    </row>
    <row r="271" spans="1:2">
      <c r="A271" s="2" t="s">
        <v>269</v>
      </c>
      <c r="B271">
        <f>Utilidad_Millones!B271/Ingresos_Millones!B271*100</f>
        <v>21.625143733231123</v>
      </c>
    </row>
    <row r="272" spans="1:2">
      <c r="A272" s="2" t="s">
        <v>270</v>
      </c>
      <c r="B272">
        <f>Utilidad_Millones!B272/Ingresos_Millones!B272*100</f>
        <v>22.969230769230769</v>
      </c>
    </row>
    <row r="273" spans="1:2">
      <c r="A273" s="2" t="s">
        <v>271</v>
      </c>
      <c r="B273">
        <f>Utilidad_Millones!B273/Ingresos_Millones!B273*100</f>
        <v>26.888556469708302</v>
      </c>
    </row>
    <row r="274" spans="1:2">
      <c r="A274" s="2" t="s">
        <v>281</v>
      </c>
      <c r="B274">
        <f>Utilidad_Millones!B274/Ingresos_Millones!B274*100</f>
        <v>35.352255448555496</v>
      </c>
    </row>
    <row r="275" spans="1:2">
      <c r="A275" s="2" t="s">
        <v>273</v>
      </c>
      <c r="B275">
        <f>Utilidad_Millones!B275/Ingresos_Millones!B275*100</f>
        <v>34.88145727595078</v>
      </c>
    </row>
    <row r="276" spans="1:2">
      <c r="A276" s="2" t="s">
        <v>274</v>
      </c>
      <c r="B276">
        <f>Utilidad_Millones!B276/Ingresos_Millones!B276*100</f>
        <v>38.690270382407853</v>
      </c>
    </row>
    <row r="277" spans="1:2">
      <c r="A277" s="2" t="s">
        <v>275</v>
      </c>
      <c r="B277">
        <f>Utilidad_Millones!B277/Ingresos_Millones!B277*100</f>
        <v>42.351722634103794</v>
      </c>
    </row>
    <row r="278" spans="1:2">
      <c r="A278" s="2" t="s">
        <v>276</v>
      </c>
      <c r="B278">
        <f>Utilidad_Millones!B278/Ingresos_Millones!B278*100</f>
        <v>43.683842620331539</v>
      </c>
    </row>
  </sheetData>
  <phoneticPr fontId="2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F6F8-C129-43C9-9C9F-14720158B206}">
  <sheetPr codeName="Hoja8"/>
  <dimension ref="A1:B278"/>
  <sheetViews>
    <sheetView topLeftCell="A233" workbookViewId="0">
      <selection activeCell="A242" sqref="A242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35103.401899999997</v>
      </c>
    </row>
    <row r="3" spans="1:2">
      <c r="A3" s="2" t="s">
        <v>1</v>
      </c>
      <c r="B3">
        <v>39934.800000000003</v>
      </c>
    </row>
    <row r="4" spans="1:2">
      <c r="A4" s="2" t="s">
        <v>2</v>
      </c>
      <c r="B4">
        <v>48849.901899999997</v>
      </c>
    </row>
    <row r="5" spans="1:2">
      <c r="A5" s="2" t="s">
        <v>3</v>
      </c>
      <c r="B5">
        <v>45033.3</v>
      </c>
    </row>
    <row r="6" spans="1:2">
      <c r="A6" s="2" t="s">
        <v>4</v>
      </c>
      <c r="B6">
        <v>46196.1</v>
      </c>
    </row>
    <row r="7" spans="1:2">
      <c r="A7" s="2" t="s">
        <v>5</v>
      </c>
      <c r="B7">
        <v>49681.5</v>
      </c>
    </row>
    <row r="8" spans="1:2">
      <c r="A8" s="2" t="s">
        <v>277</v>
      </c>
      <c r="B8">
        <v>65617.259999999995</v>
      </c>
    </row>
    <row r="9" spans="1:2">
      <c r="A9" s="2" t="s">
        <v>7</v>
      </c>
      <c r="B9">
        <v>66585.3</v>
      </c>
    </row>
    <row r="10" spans="1:2">
      <c r="A10" s="2" t="s">
        <v>8</v>
      </c>
      <c r="B10">
        <v>74518.399999999994</v>
      </c>
    </row>
    <row r="11" spans="1:2">
      <c r="A11" s="2" t="s">
        <v>9</v>
      </c>
      <c r="B11">
        <v>84554.1</v>
      </c>
    </row>
    <row r="12" spans="1:2">
      <c r="A12" s="2" t="s">
        <v>10</v>
      </c>
      <c r="B12">
        <v>92962.4</v>
      </c>
    </row>
    <row r="13" spans="1:2">
      <c r="A13" s="2" t="s">
        <v>11</v>
      </c>
      <c r="B13">
        <v>9277.8019000000004</v>
      </c>
    </row>
    <row r="14" spans="1:2">
      <c r="A14" s="2" t="s">
        <v>12</v>
      </c>
      <c r="B14">
        <v>11557.2</v>
      </c>
    </row>
    <row r="15" spans="1:2">
      <c r="A15" s="2" t="s">
        <v>13</v>
      </c>
      <c r="B15">
        <v>12415.6019</v>
      </c>
    </row>
    <row r="16" spans="1:2">
      <c r="A16" s="2" t="s">
        <v>14</v>
      </c>
      <c r="B16">
        <v>12912.4</v>
      </c>
    </row>
    <row r="17" spans="1:2">
      <c r="A17" s="2" t="s">
        <v>15</v>
      </c>
      <c r="B17">
        <v>13888.5</v>
      </c>
    </row>
    <row r="18" spans="1:2">
      <c r="A18" s="2" t="s">
        <v>16</v>
      </c>
      <c r="B18">
        <v>15049.6</v>
      </c>
    </row>
    <row r="19" spans="1:2">
      <c r="A19" s="2" t="s">
        <v>17</v>
      </c>
      <c r="B19">
        <v>20403</v>
      </c>
    </row>
    <row r="20" spans="1:2">
      <c r="A20" s="2" t="s">
        <v>18</v>
      </c>
      <c r="B20">
        <v>17279.7</v>
      </c>
    </row>
    <row r="21" spans="1:2">
      <c r="A21" s="2" t="s">
        <v>19</v>
      </c>
      <c r="B21">
        <v>15006.7</v>
      </c>
    </row>
    <row r="22" spans="1:2">
      <c r="A22" s="2" t="s">
        <v>20</v>
      </c>
      <c r="B22">
        <v>13860.8</v>
      </c>
    </row>
    <row r="23" spans="1:2">
      <c r="A23" s="2" t="s">
        <v>21</v>
      </c>
      <c r="B23">
        <v>14147.6</v>
      </c>
    </row>
    <row r="24" spans="1:2">
      <c r="A24" s="2" t="s">
        <v>22</v>
      </c>
      <c r="B24">
        <v>24890.801899999999</v>
      </c>
    </row>
    <row r="25" spans="1:2">
      <c r="A25" s="2" t="s">
        <v>23</v>
      </c>
      <c r="B25">
        <v>23022.3</v>
      </c>
    </row>
    <row r="26" spans="1:2">
      <c r="A26" s="2" t="s">
        <v>24</v>
      </c>
      <c r="B26">
        <v>23512.401900000001</v>
      </c>
    </row>
    <row r="27" spans="1:2">
      <c r="A27" s="2" t="s">
        <v>25</v>
      </c>
      <c r="B27">
        <v>27753.599999999999</v>
      </c>
    </row>
    <row r="28" spans="1:2">
      <c r="A28" s="2" t="s">
        <v>26</v>
      </c>
      <c r="B28">
        <v>27794.799999999999</v>
      </c>
    </row>
    <row r="29" spans="1:2">
      <c r="A29" s="2" t="s">
        <v>27</v>
      </c>
      <c r="B29">
        <v>29734.5</v>
      </c>
    </row>
    <row r="30" spans="1:2">
      <c r="A30" s="2" t="s">
        <v>28</v>
      </c>
      <c r="B30">
        <v>32490.2</v>
      </c>
    </row>
    <row r="31" spans="1:2">
      <c r="A31" s="2" t="s">
        <v>29</v>
      </c>
      <c r="B31">
        <v>31434.6</v>
      </c>
    </row>
    <row r="32" spans="1:2">
      <c r="A32" s="2" t="s">
        <v>30</v>
      </c>
      <c r="B32">
        <v>35180.9</v>
      </c>
    </row>
    <row r="33" spans="1:2">
      <c r="A33" s="2" t="s">
        <v>31</v>
      </c>
      <c r="B33">
        <v>35411.9</v>
      </c>
    </row>
    <row r="34" spans="1:2">
      <c r="A34" s="2" t="s">
        <v>32</v>
      </c>
      <c r="B34">
        <v>32973.699999999997</v>
      </c>
    </row>
    <row r="35" spans="1:2">
      <c r="A35" s="2" t="s">
        <v>33</v>
      </c>
      <c r="B35">
        <v>15028.001899999999</v>
      </c>
    </row>
    <row r="36" spans="1:2">
      <c r="A36" s="2" t="s">
        <v>34</v>
      </c>
      <c r="B36">
        <v>15947</v>
      </c>
    </row>
    <row r="37" spans="1:2">
      <c r="A37" s="2" t="s">
        <v>35</v>
      </c>
      <c r="B37">
        <v>26383.001899999999</v>
      </c>
    </row>
    <row r="38" spans="1:2">
      <c r="A38" s="2" t="s">
        <v>36</v>
      </c>
      <c r="B38">
        <v>24805</v>
      </c>
    </row>
    <row r="39" spans="1:2">
      <c r="A39" s="2" t="s">
        <v>37</v>
      </c>
      <c r="B39">
        <v>28642</v>
      </c>
    </row>
    <row r="40" spans="1:2">
      <c r="A40" s="2" t="s">
        <v>38</v>
      </c>
      <c r="B40">
        <v>29170</v>
      </c>
    </row>
    <row r="41" spans="1:2">
      <c r="A41" s="2" t="s">
        <v>39</v>
      </c>
      <c r="B41">
        <v>35932</v>
      </c>
    </row>
    <row r="42" spans="1:2">
      <c r="A42" s="2" t="s">
        <v>40</v>
      </c>
      <c r="B42">
        <v>33185</v>
      </c>
    </row>
    <row r="43" spans="1:2">
      <c r="A43" s="2" t="s">
        <v>41</v>
      </c>
      <c r="B43">
        <v>30690</v>
      </c>
    </row>
    <row r="44" spans="1:2">
      <c r="A44" s="2" t="s">
        <v>42</v>
      </c>
      <c r="B44">
        <v>48519</v>
      </c>
    </row>
    <row r="45" spans="1:2">
      <c r="A45" s="2" t="s">
        <v>43</v>
      </c>
      <c r="B45">
        <v>43242</v>
      </c>
    </row>
    <row r="46" spans="1:2">
      <c r="A46" s="2" t="s">
        <v>44</v>
      </c>
      <c r="B46">
        <v>38120.001900000003</v>
      </c>
    </row>
    <row r="47" spans="1:2">
      <c r="A47" s="2" t="s">
        <v>45</v>
      </c>
      <c r="B47">
        <v>36244</v>
      </c>
    </row>
    <row r="48" spans="1:2">
      <c r="A48" s="2" t="s">
        <v>46</v>
      </c>
      <c r="B48">
        <v>42607.001900000003</v>
      </c>
    </row>
    <row r="49" spans="1:2">
      <c r="A49" s="2" t="s">
        <v>47</v>
      </c>
      <c r="B49">
        <v>35457</v>
      </c>
    </row>
    <row r="50" spans="1:2">
      <c r="A50" s="2" t="s">
        <v>48</v>
      </c>
      <c r="B50">
        <v>39871</v>
      </c>
    </row>
    <row r="51" spans="1:2">
      <c r="A51" s="2" t="s">
        <v>49</v>
      </c>
      <c r="B51">
        <v>43836</v>
      </c>
    </row>
    <row r="52" spans="1:2">
      <c r="A52" s="2" t="s">
        <v>50</v>
      </c>
      <c r="B52">
        <v>38860</v>
      </c>
    </row>
    <row r="53" spans="1:2">
      <c r="A53" s="2" t="s">
        <v>51</v>
      </c>
      <c r="B53">
        <v>41792</v>
      </c>
    </row>
    <row r="54" spans="1:2">
      <c r="A54" s="2" t="s">
        <v>52</v>
      </c>
      <c r="B54">
        <v>45030</v>
      </c>
    </row>
    <row r="55" spans="1:2">
      <c r="A55" s="2" t="s">
        <v>53</v>
      </c>
      <c r="B55">
        <v>59744</v>
      </c>
    </row>
    <row r="56" spans="1:2">
      <c r="A56" s="2" t="s">
        <v>54</v>
      </c>
      <c r="B56">
        <v>67792</v>
      </c>
    </row>
    <row r="57" spans="1:2">
      <c r="A57" s="2" t="s">
        <v>55</v>
      </c>
      <c r="B57">
        <v>21533.601900000001</v>
      </c>
    </row>
    <row r="58" spans="1:2">
      <c r="A58" s="2" t="s">
        <v>56</v>
      </c>
      <c r="B58">
        <v>22154.9</v>
      </c>
    </row>
    <row r="59" spans="1:2">
      <c r="A59" s="2" t="s">
        <v>57</v>
      </c>
      <c r="B59">
        <v>25747.7019</v>
      </c>
    </row>
    <row r="60" spans="1:2">
      <c r="A60" s="2" t="s">
        <v>58</v>
      </c>
      <c r="B60">
        <v>24437.599999999999</v>
      </c>
    </row>
    <row r="61" spans="1:2">
      <c r="A61" s="2" t="s">
        <v>59</v>
      </c>
      <c r="B61">
        <v>24337.8</v>
      </c>
    </row>
    <row r="62" spans="1:2">
      <c r="A62" s="2" t="s">
        <v>60</v>
      </c>
      <c r="B62">
        <v>26632.1</v>
      </c>
    </row>
    <row r="63" spans="1:2">
      <c r="A63" s="2" t="s">
        <v>61</v>
      </c>
      <c r="B63">
        <v>29480.5</v>
      </c>
    </row>
    <row r="64" spans="1:2">
      <c r="A64" s="2" t="s">
        <v>62</v>
      </c>
      <c r="B64">
        <v>29240.2</v>
      </c>
    </row>
    <row r="65" spans="1:2">
      <c r="A65" s="2" t="s">
        <v>63</v>
      </c>
      <c r="B65">
        <v>31876.1</v>
      </c>
    </row>
    <row r="66" spans="1:2">
      <c r="A66" s="2" t="s">
        <v>64</v>
      </c>
      <c r="B66">
        <v>35761.800000000003</v>
      </c>
    </row>
    <row r="67" spans="1:2">
      <c r="A67" s="2" t="s">
        <v>65</v>
      </c>
      <c r="B67">
        <v>37237.1</v>
      </c>
    </row>
    <row r="68" spans="1:2">
      <c r="A68" s="2" t="s">
        <v>66</v>
      </c>
      <c r="B68">
        <v>10806.001899999999</v>
      </c>
    </row>
    <row r="69" spans="1:2">
      <c r="A69" s="2" t="s">
        <v>67</v>
      </c>
      <c r="B69">
        <v>12975</v>
      </c>
    </row>
    <row r="70" spans="1:2">
      <c r="A70" s="2" t="s">
        <v>68</v>
      </c>
      <c r="B70">
        <v>17467.001899999999</v>
      </c>
    </row>
    <row r="71" spans="1:2">
      <c r="A71" s="2" t="s">
        <v>69</v>
      </c>
      <c r="B71">
        <v>17657</v>
      </c>
    </row>
    <row r="72" spans="1:2">
      <c r="A72" s="2" t="s">
        <v>70</v>
      </c>
      <c r="B72">
        <v>18283</v>
      </c>
    </row>
    <row r="73" spans="1:2">
      <c r="A73" s="2" t="s">
        <v>71</v>
      </c>
      <c r="B73">
        <v>19369</v>
      </c>
    </row>
    <row r="74" spans="1:2">
      <c r="A74" s="2" t="s">
        <v>72</v>
      </c>
      <c r="B74">
        <v>18180</v>
      </c>
    </row>
    <row r="75" spans="1:2">
      <c r="A75" s="2" t="s">
        <v>73</v>
      </c>
      <c r="B75">
        <v>18494</v>
      </c>
    </row>
    <row r="76" spans="1:2">
      <c r="A76" s="2" t="s">
        <v>74</v>
      </c>
      <c r="B76">
        <v>17549</v>
      </c>
    </row>
    <row r="77" spans="1:2">
      <c r="A77" s="2" t="s">
        <v>75</v>
      </c>
      <c r="B77">
        <v>18569</v>
      </c>
    </row>
    <row r="78" spans="1:2">
      <c r="A78" s="2" t="s">
        <v>76</v>
      </c>
      <c r="B78">
        <v>16697</v>
      </c>
    </row>
    <row r="79" spans="1:2">
      <c r="A79" s="2" t="s">
        <v>77</v>
      </c>
      <c r="B79">
        <v>11730.2019</v>
      </c>
    </row>
    <row r="80" spans="1:2">
      <c r="A80" s="2" t="s">
        <v>78</v>
      </c>
      <c r="B80">
        <v>15739.2</v>
      </c>
    </row>
    <row r="81" spans="1:2">
      <c r="A81" s="2" t="s">
        <v>79</v>
      </c>
      <c r="B81">
        <v>19195.2019</v>
      </c>
    </row>
    <row r="82" spans="1:2">
      <c r="A82" s="2" t="s">
        <v>80</v>
      </c>
      <c r="B82">
        <v>20458.5</v>
      </c>
    </row>
    <row r="83" spans="1:2">
      <c r="A83" s="2" t="s">
        <v>81</v>
      </c>
      <c r="B83">
        <v>20646.599999999999</v>
      </c>
    </row>
    <row r="84" spans="1:2">
      <c r="A84" s="2" t="s">
        <v>82</v>
      </c>
      <c r="B84">
        <v>22010.1</v>
      </c>
    </row>
    <row r="85" spans="1:2">
      <c r="A85" s="2" t="s">
        <v>83</v>
      </c>
      <c r="B85">
        <v>24418.3</v>
      </c>
    </row>
    <row r="86" spans="1:2">
      <c r="A86" s="2" t="s">
        <v>84</v>
      </c>
      <c r="B86">
        <v>25061.1</v>
      </c>
    </row>
    <row r="87" spans="1:2">
      <c r="A87" s="2" t="s">
        <v>85</v>
      </c>
      <c r="B87">
        <v>27501.5</v>
      </c>
    </row>
    <row r="88" spans="1:2">
      <c r="A88" s="2" t="s">
        <v>86</v>
      </c>
      <c r="B88">
        <v>29375.5</v>
      </c>
    </row>
    <row r="89" spans="1:2">
      <c r="A89" s="2" t="s">
        <v>87</v>
      </c>
      <c r="B89">
        <v>31271.200000000001</v>
      </c>
    </row>
    <row r="90" spans="1:2">
      <c r="A90" s="2" t="s">
        <v>88</v>
      </c>
      <c r="B90">
        <v>11195.6019</v>
      </c>
    </row>
    <row r="91" spans="1:2">
      <c r="A91" s="2" t="s">
        <v>89</v>
      </c>
      <c r="B91">
        <v>11634.7</v>
      </c>
    </row>
    <row r="92" spans="1:2">
      <c r="A92" s="2" t="s">
        <v>90</v>
      </c>
      <c r="B92">
        <v>11125.1019</v>
      </c>
    </row>
    <row r="93" spans="1:2">
      <c r="A93" s="2" t="s">
        <v>91</v>
      </c>
      <c r="B93">
        <v>10663.7</v>
      </c>
    </row>
    <row r="94" spans="1:2">
      <c r="A94" s="2" t="s">
        <v>92</v>
      </c>
      <c r="B94">
        <v>9917.7000000000007</v>
      </c>
    </row>
    <row r="95" spans="1:2">
      <c r="A95" s="2" t="s">
        <v>93</v>
      </c>
      <c r="B95">
        <v>9926.4</v>
      </c>
    </row>
    <row r="96" spans="1:2">
      <c r="A96" s="2" t="s">
        <v>94</v>
      </c>
      <c r="B96">
        <v>12775.2</v>
      </c>
    </row>
    <row r="97" spans="1:2">
      <c r="A97" s="2" t="s">
        <v>95</v>
      </c>
      <c r="B97">
        <v>12393.1</v>
      </c>
    </row>
    <row r="98" spans="1:2">
      <c r="A98" s="2" t="s">
        <v>96</v>
      </c>
      <c r="B98">
        <v>14203.1</v>
      </c>
    </row>
    <row r="99" spans="1:2">
      <c r="A99" s="2" t="s">
        <v>97</v>
      </c>
      <c r="B99">
        <v>14498.8</v>
      </c>
    </row>
    <row r="100" spans="1:2">
      <c r="A100" s="2" t="s">
        <v>98</v>
      </c>
      <c r="B100">
        <v>15097.5</v>
      </c>
    </row>
    <row r="101" spans="1:2">
      <c r="A101" s="2" t="s">
        <v>99</v>
      </c>
      <c r="B101">
        <v>51893.901899999997</v>
      </c>
    </row>
    <row r="102" spans="1:2">
      <c r="A102" s="2" t="s">
        <v>100</v>
      </c>
      <c r="B102">
        <v>48031.3</v>
      </c>
    </row>
    <row r="103" spans="1:2">
      <c r="A103" s="2" t="s">
        <v>101</v>
      </c>
      <c r="B103">
        <v>46495.401899999997</v>
      </c>
    </row>
    <row r="104" spans="1:2">
      <c r="A104" s="2" t="s">
        <v>102</v>
      </c>
      <c r="B104">
        <v>42315</v>
      </c>
    </row>
    <row r="105" spans="1:2">
      <c r="A105" s="2" t="s">
        <v>103</v>
      </c>
      <c r="B105">
        <v>48171.5</v>
      </c>
    </row>
    <row r="106" spans="1:2">
      <c r="A106" s="2" t="s">
        <v>104</v>
      </c>
      <c r="B106">
        <v>50549.5</v>
      </c>
    </row>
    <row r="107" spans="1:2">
      <c r="A107" s="2" t="s">
        <v>105</v>
      </c>
      <c r="B107">
        <v>56411.1</v>
      </c>
    </row>
    <row r="108" spans="1:2">
      <c r="A108" s="2" t="s">
        <v>106</v>
      </c>
      <c r="B108">
        <v>50056.9</v>
      </c>
    </row>
    <row r="109" spans="1:2">
      <c r="A109" s="2" t="s">
        <v>107</v>
      </c>
      <c r="B109">
        <v>44426.400000000001</v>
      </c>
    </row>
    <row r="110" spans="1:2">
      <c r="A110" s="2" t="s">
        <v>108</v>
      </c>
      <c r="B110">
        <v>42234.6</v>
      </c>
    </row>
    <row r="111" spans="1:2">
      <c r="A111" s="2" t="s">
        <v>109</v>
      </c>
      <c r="B111">
        <v>40144</v>
      </c>
    </row>
    <row r="112" spans="1:2">
      <c r="A112" s="2" t="s">
        <v>110</v>
      </c>
      <c r="B112">
        <v>23453.901900000001</v>
      </c>
    </row>
    <row r="113" spans="1:2">
      <c r="A113" s="2" t="s">
        <v>111</v>
      </c>
      <c r="B113">
        <v>13447.1</v>
      </c>
    </row>
    <row r="114" spans="1:2">
      <c r="A114" s="2" t="s">
        <v>112</v>
      </c>
      <c r="B114">
        <v>15035.001899999999</v>
      </c>
    </row>
    <row r="115" spans="1:2">
      <c r="A115" s="2" t="s">
        <v>113</v>
      </c>
      <c r="B115">
        <v>15205.5</v>
      </c>
    </row>
    <row r="116" spans="1:2">
      <c r="A116" s="2" t="s">
        <v>114</v>
      </c>
      <c r="B116">
        <v>15172.2</v>
      </c>
    </row>
    <row r="117" spans="1:2">
      <c r="A117" s="2" t="s">
        <v>115</v>
      </c>
      <c r="B117">
        <v>14109</v>
      </c>
    </row>
    <row r="118" spans="1:2">
      <c r="A118" s="2" t="s">
        <v>116</v>
      </c>
      <c r="B118">
        <v>17290.3</v>
      </c>
    </row>
    <row r="119" spans="1:2">
      <c r="A119" s="2" t="s">
        <v>117</v>
      </c>
      <c r="B119">
        <v>18491.2</v>
      </c>
    </row>
    <row r="120" spans="1:2">
      <c r="A120" s="2" t="s">
        <v>118</v>
      </c>
      <c r="B120">
        <v>23454.2</v>
      </c>
    </row>
    <row r="121" spans="1:2">
      <c r="A121" s="2" t="s">
        <v>119</v>
      </c>
      <c r="B121">
        <v>26068.400000000001</v>
      </c>
    </row>
    <row r="122" spans="1:2">
      <c r="A122" s="2" t="s">
        <v>120</v>
      </c>
      <c r="B122">
        <v>27259.3</v>
      </c>
    </row>
    <row r="123" spans="1:2">
      <c r="A123" s="2" t="s">
        <v>121</v>
      </c>
      <c r="B123">
        <v>84744.101899999994</v>
      </c>
    </row>
    <row r="124" spans="1:2">
      <c r="A124" s="2" t="s">
        <v>122</v>
      </c>
      <c r="B124">
        <v>109387.7</v>
      </c>
    </row>
    <row r="125" spans="1:2">
      <c r="A125" s="2" t="s">
        <v>123</v>
      </c>
      <c r="B125">
        <v>136886.5019</v>
      </c>
    </row>
    <row r="126" spans="1:2">
      <c r="A126" s="2" t="s">
        <v>124</v>
      </c>
      <c r="B126">
        <v>147572.1</v>
      </c>
    </row>
    <row r="127" spans="1:2">
      <c r="A127" s="2" t="s">
        <v>125</v>
      </c>
      <c r="B127">
        <v>147468</v>
      </c>
    </row>
    <row r="128" spans="1:2">
      <c r="A128" s="2" t="s">
        <v>126</v>
      </c>
      <c r="B128">
        <v>154375.9</v>
      </c>
    </row>
    <row r="129" spans="1:2">
      <c r="A129" s="2" t="s">
        <v>127</v>
      </c>
      <c r="B129">
        <v>215173.4</v>
      </c>
    </row>
    <row r="130" spans="1:2">
      <c r="A130" s="2" t="s">
        <v>128</v>
      </c>
      <c r="B130">
        <v>220457.9</v>
      </c>
    </row>
    <row r="131" spans="1:2">
      <c r="A131" s="2" t="s">
        <v>129</v>
      </c>
      <c r="B131">
        <v>246267.2</v>
      </c>
    </row>
    <row r="132" spans="1:2">
      <c r="A132" s="2" t="s">
        <v>130</v>
      </c>
      <c r="B132">
        <v>249270.2</v>
      </c>
    </row>
    <row r="133" spans="1:2">
      <c r="A133" s="2" t="s">
        <v>131</v>
      </c>
      <c r="B133">
        <v>274401.5</v>
      </c>
    </row>
    <row r="134" spans="1:2">
      <c r="A134" s="2" t="s">
        <v>132</v>
      </c>
      <c r="B134">
        <v>24658.401900000001</v>
      </c>
    </row>
    <row r="135" spans="1:2">
      <c r="A135" s="2" t="s">
        <v>133</v>
      </c>
      <c r="B135">
        <v>23380.5</v>
      </c>
    </row>
    <row r="136" spans="1:2">
      <c r="A136" s="2" t="s">
        <v>134</v>
      </c>
      <c r="B136">
        <v>21930.001899999999</v>
      </c>
    </row>
    <row r="137" spans="1:2">
      <c r="A137" s="2" t="s">
        <v>135</v>
      </c>
      <c r="B137">
        <v>19323.5</v>
      </c>
    </row>
    <row r="138" spans="1:2">
      <c r="A138" s="2" t="s">
        <v>136</v>
      </c>
      <c r="B138">
        <v>21919.7</v>
      </c>
    </row>
    <row r="139" spans="1:2">
      <c r="A139" s="2" t="s">
        <v>137</v>
      </c>
      <c r="B139">
        <v>22414.9</v>
      </c>
    </row>
    <row r="140" spans="1:2">
      <c r="A140" s="2" t="s">
        <v>138</v>
      </c>
      <c r="B140">
        <v>33851.800000000003</v>
      </c>
    </row>
    <row r="141" spans="1:2">
      <c r="A141" s="2" t="s">
        <v>139</v>
      </c>
      <c r="B141">
        <v>38172.5</v>
      </c>
    </row>
    <row r="142" spans="1:2">
      <c r="A142" s="2" t="s">
        <v>140</v>
      </c>
      <c r="B142">
        <v>50414.5</v>
      </c>
    </row>
    <row r="143" spans="1:2">
      <c r="A143" s="2" t="s">
        <v>141</v>
      </c>
      <c r="B143">
        <v>58845.8</v>
      </c>
    </row>
    <row r="144" spans="1:2">
      <c r="A144" s="2" t="s">
        <v>142</v>
      </c>
      <c r="B144">
        <v>54465.2</v>
      </c>
    </row>
    <row r="145" spans="1:2">
      <c r="A145" s="2" t="s">
        <v>143</v>
      </c>
      <c r="B145" s="5">
        <f>(21124517000/6.463)/1000000</f>
        <v>3268.531177471762</v>
      </c>
    </row>
    <row r="146" spans="1:2">
      <c r="A146" s="2" t="s">
        <v>144</v>
      </c>
      <c r="B146" s="5">
        <f>(21196984000/6.3093)/1000000</f>
        <v>3359.6411646299907</v>
      </c>
    </row>
    <row r="147" spans="1:2">
      <c r="A147" s="2" t="s">
        <v>145</v>
      </c>
      <c r="B147" s="5">
        <f>(21709764000/6.1478)/1000000</f>
        <v>3531.3061583005301</v>
      </c>
    </row>
    <row r="148" spans="1:2">
      <c r="A148" s="2" t="s">
        <v>146</v>
      </c>
      <c r="B148" s="5">
        <f>(25365597000/6.162)/1000000</f>
        <v>4116.4552093476141</v>
      </c>
    </row>
    <row r="149" spans="1:2">
      <c r="A149" s="2" t="s">
        <v>147</v>
      </c>
      <c r="B149" s="5">
        <f>(32294404000/6.2827)/1000000</f>
        <v>5140.2110557562828</v>
      </c>
    </row>
    <row r="150" spans="1:2">
      <c r="A150" s="2" t="s">
        <v>148</v>
      </c>
      <c r="B150" s="5">
        <f>(51255929000/6.64)/1000000</f>
        <v>7719.2664156626506</v>
      </c>
    </row>
    <row r="151" spans="1:2">
      <c r="A151" s="2" t="s">
        <v>149</v>
      </c>
      <c r="B151" s="5">
        <f>(55198289000/6.609)/1000000</f>
        <v>8351.9880466031173</v>
      </c>
    </row>
    <row r="152" spans="1:2">
      <c r="A152" s="2" t="s">
        <v>150</v>
      </c>
      <c r="B152" s="5">
        <f>(56762289000/6.9081)/1000000</f>
        <v>8216.7729187475561</v>
      </c>
    </row>
    <row r="153" spans="1:2">
      <c r="A153" s="2" t="s">
        <v>151</v>
      </c>
      <c r="B153" s="5">
        <f>(56874274000/6.9042)/1000000</f>
        <v>8237.6341936792105</v>
      </c>
    </row>
    <row r="154" spans="1:2">
      <c r="A154" s="2" t="s">
        <v>152</v>
      </c>
      <c r="B154">
        <v>14966.7</v>
      </c>
    </row>
    <row r="155" spans="1:2">
      <c r="A155" s="2" t="s">
        <v>153</v>
      </c>
      <c r="B155">
        <v>16097.7</v>
      </c>
    </row>
    <row r="156" spans="1:2">
      <c r="A156" s="2" t="s">
        <v>154</v>
      </c>
      <c r="B156" s="11">
        <f>224045*1000/1000000</f>
        <v>224.04499999999999</v>
      </c>
    </row>
    <row r="157" spans="1:2">
      <c r="A157" s="2" t="s">
        <v>155</v>
      </c>
      <c r="B157" s="11">
        <f>124700*1000/1000000</f>
        <v>124.7</v>
      </c>
    </row>
    <row r="158" spans="1:2">
      <c r="A158" s="2" t="s">
        <v>156</v>
      </c>
      <c r="B158" s="11">
        <f>667120*1000/1000000</f>
        <v>667.12</v>
      </c>
    </row>
    <row r="159" spans="1:2">
      <c r="A159" s="2" t="s">
        <v>157</v>
      </c>
      <c r="B159" s="11">
        <f>1083704*1000/1000000</f>
        <v>1083.704</v>
      </c>
    </row>
    <row r="160" spans="1:2">
      <c r="A160" s="2" t="s">
        <v>158</v>
      </c>
      <c r="B160" s="11">
        <f>4752911*1000/1000000</f>
        <v>4752.9110000000001</v>
      </c>
    </row>
    <row r="161" spans="1:2">
      <c r="A161" s="2" t="s">
        <v>159</v>
      </c>
      <c r="B161" s="11">
        <f>4752911*1000/1000000</f>
        <v>4752.9110000000001</v>
      </c>
    </row>
    <row r="162" spans="1:2">
      <c r="A162" s="2" t="s">
        <v>160</v>
      </c>
      <c r="B162" s="11">
        <f>4923</f>
        <v>4923</v>
      </c>
    </row>
    <row r="163" spans="1:2">
      <c r="A163" s="2" t="s">
        <v>161</v>
      </c>
      <c r="B163" s="11">
        <v>6618</v>
      </c>
    </row>
    <row r="164" spans="1:2">
      <c r="A164" s="2" t="s">
        <v>162</v>
      </c>
      <c r="B164">
        <v>22225</v>
      </c>
    </row>
    <row r="165" spans="1:2">
      <c r="A165" s="2" t="s">
        <v>163</v>
      </c>
      <c r="B165">
        <v>30189</v>
      </c>
    </row>
    <row r="166" spans="1:2">
      <c r="A166" s="2" t="s">
        <v>164</v>
      </c>
      <c r="B166">
        <v>44704</v>
      </c>
    </row>
    <row r="167" spans="1:2">
      <c r="A167" s="2" t="s">
        <v>165</v>
      </c>
      <c r="B167">
        <v>74702.901899999997</v>
      </c>
    </row>
    <row r="168" spans="1:2">
      <c r="A168" s="2" t="s">
        <v>166</v>
      </c>
      <c r="B168">
        <v>102180.2</v>
      </c>
    </row>
    <row r="169" spans="1:2">
      <c r="A169" s="2" t="s">
        <v>167</v>
      </c>
      <c r="B169">
        <v>120878.5019</v>
      </c>
    </row>
    <row r="170" spans="1:2">
      <c r="A170" s="2" t="s">
        <v>168</v>
      </c>
      <c r="B170">
        <v>108882</v>
      </c>
    </row>
    <row r="171" spans="1:2">
      <c r="A171" s="2" t="s">
        <v>169</v>
      </c>
      <c r="B171">
        <v>95650.8</v>
      </c>
    </row>
    <row r="172" spans="1:2">
      <c r="A172" s="2" t="s">
        <v>170</v>
      </c>
      <c r="B172">
        <v>97752.6</v>
      </c>
    </row>
    <row r="173" spans="1:2">
      <c r="A173" s="2" t="s">
        <v>171</v>
      </c>
      <c r="B173">
        <v>133864.70000000001</v>
      </c>
    </row>
    <row r="174" spans="1:2">
      <c r="A174" s="2" t="s">
        <v>172</v>
      </c>
      <c r="B174">
        <v>136687</v>
      </c>
    </row>
    <row r="175" spans="1:2">
      <c r="A175" s="2" t="s">
        <v>173</v>
      </c>
      <c r="B175">
        <v>155482.6</v>
      </c>
    </row>
    <row r="176" spans="1:2">
      <c r="A176" s="2" t="s">
        <v>174</v>
      </c>
      <c r="B176">
        <v>164238.5</v>
      </c>
    </row>
    <row r="177" spans="1:2">
      <c r="A177" s="2" t="s">
        <v>175</v>
      </c>
      <c r="B177">
        <v>176458.3</v>
      </c>
    </row>
    <row r="178" spans="1:2">
      <c r="A178" s="2" t="s">
        <v>176</v>
      </c>
      <c r="B178">
        <v>12341.6019</v>
      </c>
    </row>
    <row r="179" spans="1:2">
      <c r="A179" s="2" t="s">
        <v>177</v>
      </c>
      <c r="B179">
        <v>13169.9</v>
      </c>
    </row>
    <row r="180" spans="1:2">
      <c r="A180" s="2" t="s">
        <v>178</v>
      </c>
      <c r="B180">
        <v>11842.8019</v>
      </c>
    </row>
    <row r="181" spans="1:2">
      <c r="A181" s="2" t="s">
        <v>179</v>
      </c>
      <c r="B181">
        <v>10010.700000000001</v>
      </c>
    </row>
    <row r="182" spans="1:2">
      <c r="A182" s="2" t="s">
        <v>180</v>
      </c>
      <c r="B182">
        <v>9943.9</v>
      </c>
    </row>
    <row r="183" spans="1:2">
      <c r="A183" s="2" t="s">
        <v>181</v>
      </c>
      <c r="B183">
        <v>10577.2</v>
      </c>
    </row>
    <row r="184" spans="1:2">
      <c r="A184" s="2" t="s">
        <v>182</v>
      </c>
      <c r="B184">
        <v>13921.5</v>
      </c>
    </row>
    <row r="185" spans="1:2">
      <c r="A185" s="2" t="s">
        <v>183</v>
      </c>
      <c r="B185">
        <v>14808.4</v>
      </c>
    </row>
    <row r="186" spans="1:2">
      <c r="A186" s="2" t="s">
        <v>184</v>
      </c>
      <c r="B186">
        <v>17710.7</v>
      </c>
    </row>
    <row r="187" spans="1:2">
      <c r="A187" s="2" t="s">
        <v>185</v>
      </c>
      <c r="B187">
        <v>15582.7</v>
      </c>
    </row>
    <row r="188" spans="1:2">
      <c r="A188" s="2" t="s">
        <v>186</v>
      </c>
      <c r="B188">
        <v>15615.2</v>
      </c>
    </row>
    <row r="189" spans="1:2">
      <c r="A189" s="2" t="s">
        <v>187</v>
      </c>
      <c r="B189">
        <v>1563.0019</v>
      </c>
    </row>
    <row r="190" spans="1:2">
      <c r="A190" s="2" t="s">
        <v>188</v>
      </c>
      <c r="B190">
        <v>1879.4</v>
      </c>
    </row>
    <row r="191" spans="1:2">
      <c r="A191" s="2" t="s">
        <v>189</v>
      </c>
      <c r="B191">
        <v>2006.6018999999999</v>
      </c>
    </row>
    <row r="192" spans="1:2">
      <c r="A192" s="2" t="s">
        <v>190</v>
      </c>
      <c r="B192">
        <v>2063.3000000000002</v>
      </c>
    </row>
    <row r="193" spans="1:2">
      <c r="A193" s="2" t="s">
        <v>191</v>
      </c>
      <c r="B193">
        <v>2543.6</v>
      </c>
    </row>
    <row r="194" spans="1:2">
      <c r="A194" s="2" t="s">
        <v>192</v>
      </c>
      <c r="B194">
        <v>5895.5</v>
      </c>
    </row>
    <row r="195" spans="1:2">
      <c r="A195" s="2" t="s">
        <v>193</v>
      </c>
      <c r="B195">
        <v>8418.2000000000007</v>
      </c>
    </row>
    <row r="196" spans="1:2">
      <c r="A196" s="2" t="s">
        <v>194</v>
      </c>
      <c r="B196">
        <v>9466.4</v>
      </c>
    </row>
    <row r="197" spans="1:2">
      <c r="A197" s="2" t="s">
        <v>195</v>
      </c>
      <c r="B197">
        <v>13361.4</v>
      </c>
    </row>
    <row r="198" spans="1:2">
      <c r="A198" s="2" t="s">
        <v>196</v>
      </c>
      <c r="B198">
        <v>14713.3</v>
      </c>
    </row>
    <row r="199" spans="1:2">
      <c r="A199" s="2" t="s">
        <v>197</v>
      </c>
      <c r="B199">
        <v>13008.6</v>
      </c>
    </row>
    <row r="200" spans="1:2">
      <c r="A200" s="2" t="s">
        <v>198</v>
      </c>
      <c r="B200">
        <v>19090.501899999999</v>
      </c>
    </row>
    <row r="201" spans="1:2">
      <c r="A201" s="2" t="s">
        <v>199</v>
      </c>
      <c r="B201">
        <v>22265</v>
      </c>
    </row>
    <row r="202" spans="1:2">
      <c r="A202" s="2" t="s">
        <v>200</v>
      </c>
      <c r="B202">
        <v>25660.101900000001</v>
      </c>
    </row>
    <row r="203" spans="1:2">
      <c r="A203" s="2" t="s">
        <v>201</v>
      </c>
      <c r="B203">
        <v>29437.7</v>
      </c>
    </row>
    <row r="204" spans="1:2">
      <c r="A204" s="2" t="s">
        <v>202</v>
      </c>
      <c r="B204">
        <v>30682.1</v>
      </c>
    </row>
    <row r="205" spans="1:2">
      <c r="A205" s="2" t="s">
        <v>203</v>
      </c>
      <c r="B205">
        <v>33475.5</v>
      </c>
    </row>
    <row r="206" spans="1:2">
      <c r="A206" s="2" t="s">
        <v>204</v>
      </c>
      <c r="B206">
        <v>39428.6</v>
      </c>
    </row>
    <row r="207" spans="1:2">
      <c r="A207" s="2" t="s">
        <v>205</v>
      </c>
      <c r="B207">
        <v>41367.300000000003</v>
      </c>
    </row>
    <row r="208" spans="1:2">
      <c r="A208" s="2" t="s">
        <v>206</v>
      </c>
      <c r="B208">
        <v>46197.7</v>
      </c>
    </row>
    <row r="209" spans="1:2">
      <c r="A209" s="2" t="s">
        <v>207</v>
      </c>
      <c r="B209">
        <v>49810.8</v>
      </c>
    </row>
    <row r="210" spans="1:2">
      <c r="A210" s="2" t="s">
        <v>208</v>
      </c>
      <c r="B210">
        <v>47235.199999999997</v>
      </c>
    </row>
    <row r="211" spans="1:2">
      <c r="A211" s="2" t="s">
        <v>209</v>
      </c>
      <c r="B211">
        <v>128223.9019</v>
      </c>
    </row>
    <row r="212" spans="1:2">
      <c r="A212" s="2" t="s">
        <v>210</v>
      </c>
      <c r="B212">
        <v>129234.4</v>
      </c>
    </row>
    <row r="213" spans="1:2">
      <c r="A213" s="2" t="s">
        <v>211</v>
      </c>
      <c r="B213">
        <v>140518.10190000001</v>
      </c>
    </row>
    <row r="214" spans="1:2">
      <c r="A214" s="2" t="s">
        <v>212</v>
      </c>
      <c r="B214">
        <v>140006.1</v>
      </c>
    </row>
    <row r="215" spans="1:2">
      <c r="A215" s="2" t="s">
        <v>213</v>
      </c>
      <c r="B215">
        <v>149020.6</v>
      </c>
    </row>
    <row r="216" spans="1:2">
      <c r="A216" s="2" t="s">
        <v>214</v>
      </c>
      <c r="B216">
        <v>157210.4</v>
      </c>
    </row>
    <row r="217" spans="1:2">
      <c r="A217" s="2" t="s">
        <v>215</v>
      </c>
      <c r="B217">
        <v>174827.4</v>
      </c>
    </row>
    <row r="218" spans="1:2">
      <c r="A218" s="2" t="s">
        <v>216</v>
      </c>
      <c r="B218">
        <v>185626.1</v>
      </c>
    </row>
    <row r="219" spans="1:2">
      <c r="A219" s="2" t="s">
        <v>217</v>
      </c>
      <c r="B219">
        <v>211614.3</v>
      </c>
    </row>
    <row r="220" spans="1:2">
      <c r="A220" s="2" t="s">
        <v>218</v>
      </c>
      <c r="B220">
        <v>216176.3</v>
      </c>
    </row>
    <row r="221" spans="1:2">
      <c r="A221" s="2" t="s">
        <v>219</v>
      </c>
      <c r="B221">
        <v>213490.3</v>
      </c>
    </row>
    <row r="222" spans="1:2">
      <c r="A222" s="2" t="s">
        <v>220</v>
      </c>
      <c r="B222">
        <v>8175.0019000000002</v>
      </c>
    </row>
    <row r="223" spans="1:2">
      <c r="A223" s="2" t="s">
        <v>221</v>
      </c>
      <c r="B223">
        <v>9429</v>
      </c>
    </row>
    <row r="224" spans="1:2">
      <c r="A224" s="2" t="s">
        <v>222</v>
      </c>
      <c r="B224">
        <v>9623.0018999999993</v>
      </c>
    </row>
    <row r="225" spans="1:2">
      <c r="A225" s="2" t="s">
        <v>223</v>
      </c>
      <c r="B225">
        <v>8659</v>
      </c>
    </row>
    <row r="226" spans="1:2">
      <c r="A226" s="2" t="s">
        <v>224</v>
      </c>
      <c r="B226">
        <v>8966</v>
      </c>
    </row>
    <row r="227" spans="1:2">
      <c r="A227" s="2" t="s">
        <v>225</v>
      </c>
      <c r="B227">
        <v>9768</v>
      </c>
    </row>
    <row r="228" spans="1:2">
      <c r="A228" s="2" t="s">
        <v>226</v>
      </c>
      <c r="B228">
        <v>10701</v>
      </c>
    </row>
    <row r="229" spans="1:2">
      <c r="A229" s="2" t="s">
        <v>227</v>
      </c>
      <c r="B229">
        <v>10831</v>
      </c>
    </row>
    <row r="230" spans="1:2">
      <c r="A230" s="2" t="s">
        <v>228</v>
      </c>
      <c r="B230">
        <v>11370</v>
      </c>
    </row>
    <row r="231" spans="1:2">
      <c r="A231" s="2" t="s">
        <v>229</v>
      </c>
      <c r="B231">
        <v>11836</v>
      </c>
    </row>
    <row r="232" spans="1:2">
      <c r="A232" s="2" t="s">
        <v>230</v>
      </c>
      <c r="B232">
        <v>10935</v>
      </c>
    </row>
    <row r="233" spans="1:2">
      <c r="A233" s="2" t="s">
        <v>231</v>
      </c>
      <c r="B233" s="4">
        <f>(4629*1000000*0.893435632183908)/1000000</f>
        <v>4135.7135413793103</v>
      </c>
    </row>
    <row r="234" spans="1:2">
      <c r="A234" s="2" t="s">
        <v>232</v>
      </c>
      <c r="B234" s="4">
        <f>(3243*1000000*0.893435632183908)/1000000</f>
        <v>2897.4117551724135</v>
      </c>
    </row>
    <row r="235" spans="1:2">
      <c r="A235" s="2" t="s">
        <v>233</v>
      </c>
      <c r="B235" s="4">
        <f>(3695*1000000*0.877024904214559)/1000000</f>
        <v>3240.6070210727953</v>
      </c>
    </row>
    <row r="236" spans="1:2">
      <c r="A236" s="2" t="s">
        <v>234</v>
      </c>
      <c r="B236" s="4">
        <f>(3822*1000000*0.845999233716476)/1000000</f>
        <v>3233.4090712643715</v>
      </c>
    </row>
    <row r="237" spans="1:2">
      <c r="A237" s="2" t="s">
        <v>235</v>
      </c>
      <c r="B237" s="4">
        <v>3434</v>
      </c>
    </row>
    <row r="238" spans="1:2">
      <c r="A238" s="2" t="s">
        <v>236</v>
      </c>
      <c r="B238" s="4">
        <v>3013</v>
      </c>
    </row>
    <row r="239" spans="1:2">
      <c r="A239" s="2" t="s">
        <v>237</v>
      </c>
      <c r="B239" s="4">
        <v>2733</v>
      </c>
    </row>
    <row r="240" spans="1:2">
      <c r="A240" s="2" t="s">
        <v>238</v>
      </c>
      <c r="B240" s="4">
        <v>2401</v>
      </c>
    </row>
    <row r="241" spans="1:2">
      <c r="A241" s="17" t="s">
        <v>278</v>
      </c>
      <c r="B241" s="8">
        <v>3670</v>
      </c>
    </row>
    <row r="242" spans="1:2">
      <c r="A242" s="2" t="s">
        <v>240</v>
      </c>
      <c r="B242" s="4">
        <v>4011</v>
      </c>
    </row>
    <row r="243" spans="1:2">
      <c r="A243" s="2" t="s">
        <v>241</v>
      </c>
      <c r="B243" s="4">
        <v>7905</v>
      </c>
    </row>
    <row r="244" spans="1:2">
      <c r="A244" s="2" t="s">
        <v>242</v>
      </c>
      <c r="B244" s="4">
        <v>8347</v>
      </c>
    </row>
    <row r="245" spans="1:2">
      <c r="A245" s="2" t="s">
        <v>243</v>
      </c>
      <c r="B245" s="4">
        <v>8809</v>
      </c>
    </row>
    <row r="246" spans="1:2">
      <c r="A246" s="2" t="s">
        <v>244</v>
      </c>
      <c r="B246" s="4">
        <v>26972</v>
      </c>
    </row>
    <row r="247" spans="1:2">
      <c r="A247" s="2" t="s">
        <v>245</v>
      </c>
      <c r="B247" s="4">
        <v>33545</v>
      </c>
    </row>
    <row r="248" spans="1:2">
      <c r="A248" s="2" t="s">
        <v>246</v>
      </c>
      <c r="B248">
        <v>36088.001900000003</v>
      </c>
    </row>
    <row r="249" spans="1:2">
      <c r="A249" s="2" t="s">
        <v>247</v>
      </c>
      <c r="B249">
        <v>39169</v>
      </c>
    </row>
    <row r="250" spans="1:2">
      <c r="A250" s="2" t="s">
        <v>248</v>
      </c>
      <c r="B250">
        <v>31421</v>
      </c>
    </row>
    <row r="251" spans="1:2">
      <c r="A251" s="2" t="s">
        <v>249</v>
      </c>
      <c r="B251">
        <v>31778</v>
      </c>
    </row>
    <row r="252" spans="1:2">
      <c r="A252" s="2" t="s">
        <v>279</v>
      </c>
      <c r="B252">
        <v>928</v>
      </c>
    </row>
    <row r="253" spans="1:2">
      <c r="A253" s="2" t="s">
        <v>251</v>
      </c>
      <c r="B253" s="4">
        <v>4909</v>
      </c>
    </row>
    <row r="254" spans="1:2">
      <c r="A254" s="2" t="s">
        <v>252</v>
      </c>
      <c r="B254" s="4">
        <v>6077</v>
      </c>
    </row>
    <row r="255" spans="1:2">
      <c r="A255" s="2" t="s">
        <v>253</v>
      </c>
      <c r="B255">
        <v>9950</v>
      </c>
    </row>
    <row r="256" spans="1:2">
      <c r="A256" s="2" t="s">
        <v>254</v>
      </c>
      <c r="B256">
        <v>18013</v>
      </c>
    </row>
    <row r="257" spans="1:2">
      <c r="A257" s="2" t="s">
        <v>255</v>
      </c>
      <c r="B257" s="8">
        <f>(2429608/1000000)*1000</f>
        <v>2429.6080000000002</v>
      </c>
    </row>
    <row r="258" spans="1:2">
      <c r="A258" s="2" t="s">
        <v>256</v>
      </c>
      <c r="B258" s="8">
        <f>(4182153/1000000)*1000</f>
        <v>4182.1529999999993</v>
      </c>
    </row>
    <row r="259" spans="1:2">
      <c r="A259" s="2" t="s">
        <v>257</v>
      </c>
      <c r="B259" s="8">
        <f>(6347343/1000000)*1000</f>
        <v>6347.3430000000008</v>
      </c>
    </row>
    <row r="260" spans="1:2">
      <c r="A260" s="2" t="s">
        <v>258</v>
      </c>
      <c r="B260" s="8">
        <f>(8304424/1000000)*1000</f>
        <v>8304.4239999999991</v>
      </c>
    </row>
    <row r="261" spans="1:2">
      <c r="A261" s="2" t="s">
        <v>259</v>
      </c>
      <c r="B261" s="8">
        <f>(12389338/1000000)*1000</f>
        <v>12389.338</v>
      </c>
    </row>
    <row r="262" spans="1:2">
      <c r="A262" s="2" t="s">
        <v>260</v>
      </c>
      <c r="B262" s="8">
        <f>(13290154/1000000)*1000</f>
        <v>13290.153999999999</v>
      </c>
    </row>
    <row r="263" spans="1:2">
      <c r="A263" s="2" t="s">
        <v>280</v>
      </c>
      <c r="B263" s="8">
        <v>23693</v>
      </c>
    </row>
    <row r="264" spans="1:2">
      <c r="A264" s="2" t="s">
        <v>262</v>
      </c>
      <c r="B264" s="8">
        <v>23499</v>
      </c>
    </row>
    <row r="265" spans="1:2">
      <c r="A265" s="2" t="s">
        <v>263</v>
      </c>
      <c r="B265" s="8">
        <v>27999</v>
      </c>
    </row>
    <row r="266" spans="1:2">
      <c r="A266" s="2" t="s">
        <v>264</v>
      </c>
      <c r="B266" s="8">
        <v>33183</v>
      </c>
    </row>
    <row r="267" spans="1:2">
      <c r="A267" s="2" t="s">
        <v>265</v>
      </c>
      <c r="B267" s="8">
        <v>32401</v>
      </c>
    </row>
    <row r="268" spans="1:2">
      <c r="A268" s="2" t="s">
        <v>266</v>
      </c>
      <c r="B268" s="8">
        <v>10952</v>
      </c>
    </row>
    <row r="269" spans="1:2">
      <c r="A269" s="2" t="s">
        <v>267</v>
      </c>
      <c r="B269" s="8">
        <v>10961</v>
      </c>
    </row>
    <row r="270" spans="1:2">
      <c r="A270" s="2" t="s">
        <v>268</v>
      </c>
      <c r="B270" s="8">
        <v>10807</v>
      </c>
    </row>
    <row r="271" spans="1:2">
      <c r="A271" s="2" t="s">
        <v>269</v>
      </c>
      <c r="B271" s="8">
        <v>10390</v>
      </c>
    </row>
    <row r="272" spans="1:2">
      <c r="A272" s="2" t="s">
        <v>270</v>
      </c>
      <c r="B272" s="8">
        <v>9946</v>
      </c>
    </row>
    <row r="273" spans="1:2">
      <c r="A273" s="2" t="s">
        <v>271</v>
      </c>
      <c r="B273" s="8">
        <v>10473</v>
      </c>
    </row>
    <row r="274" spans="1:2">
      <c r="A274" s="2" t="s">
        <v>281</v>
      </c>
      <c r="B274" s="8">
        <v>8994</v>
      </c>
    </row>
    <row r="275" spans="1:2">
      <c r="A275" s="2" t="s">
        <v>273</v>
      </c>
      <c r="B275" s="8">
        <v>8907</v>
      </c>
    </row>
    <row r="276" spans="1:2">
      <c r="A276" s="2" t="s">
        <v>274</v>
      </c>
      <c r="B276" s="8">
        <v>9187</v>
      </c>
    </row>
    <row r="277" spans="1:2">
      <c r="A277" s="2" t="s">
        <v>275</v>
      </c>
      <c r="B277" s="8">
        <v>13333</v>
      </c>
    </row>
    <row r="278" spans="1:2">
      <c r="A278" s="2" t="s">
        <v>276</v>
      </c>
      <c r="B278" s="8">
        <v>14577</v>
      </c>
    </row>
  </sheetData>
  <phoneticPr fontId="2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2934-D2EA-4053-80A3-044772DC2453}">
  <sheetPr codeName="Hoja9"/>
  <dimension ref="A1:B278"/>
  <sheetViews>
    <sheetView topLeftCell="A235" workbookViewId="0">
      <selection activeCell="C241" sqref="C241"/>
    </sheetView>
  </sheetViews>
  <sheetFormatPr baseColWidth="10" defaultRowHeight="14.4"/>
  <cols>
    <col min="1" max="1" width="24.33203125" bestFit="1" customWidth="1"/>
  </cols>
  <sheetData>
    <row r="1" spans="1:2">
      <c r="A1" s="1"/>
      <c r="B1" s="1">
        <v>2011</v>
      </c>
    </row>
    <row r="2" spans="1:2">
      <c r="A2" s="2" t="s">
        <v>0</v>
      </c>
      <c r="B2">
        <v>160247.80189999999</v>
      </c>
    </row>
    <row r="3" spans="1:2">
      <c r="A3" s="2" t="s">
        <v>1</v>
      </c>
      <c r="B3">
        <v>173804.6</v>
      </c>
    </row>
    <row r="4" spans="1:2">
      <c r="A4" s="2" t="s">
        <v>2</v>
      </c>
      <c r="B4">
        <v>190643.4</v>
      </c>
    </row>
    <row r="5" spans="1:2">
      <c r="A5" s="2" t="s">
        <v>3</v>
      </c>
      <c r="B5">
        <v>187299.5</v>
      </c>
    </row>
    <row r="6" spans="1:2">
      <c r="A6" s="2" t="s">
        <v>4</v>
      </c>
      <c r="B6">
        <v>187015.4</v>
      </c>
    </row>
    <row r="7" spans="1:2">
      <c r="A7" s="2" t="s">
        <v>5</v>
      </c>
      <c r="B7">
        <v>198834.6</v>
      </c>
    </row>
    <row r="8" spans="1:2">
      <c r="A8" s="2" t="s">
        <v>277</v>
      </c>
      <c r="B8" s="8">
        <v>231099.52641695781</v>
      </c>
    </row>
    <row r="9" spans="1:2">
      <c r="A9" s="2" t="s">
        <v>7</v>
      </c>
      <c r="B9">
        <v>255945.4</v>
      </c>
    </row>
    <row r="10" spans="1:2">
      <c r="A10" s="2" t="s">
        <v>8</v>
      </c>
      <c r="B10">
        <v>265146.09999999998</v>
      </c>
    </row>
    <row r="11" spans="1:2">
      <c r="A11" s="2" t="s">
        <v>9</v>
      </c>
      <c r="B11">
        <v>260972.2</v>
      </c>
    </row>
    <row r="12" spans="1:2">
      <c r="A12" s="2" t="s">
        <v>10</v>
      </c>
      <c r="B12">
        <v>263470</v>
      </c>
    </row>
    <row r="13" spans="1:2">
      <c r="A13" s="2" t="s">
        <v>11</v>
      </c>
      <c r="B13">
        <v>33805.7019</v>
      </c>
    </row>
    <row r="14" spans="1:2">
      <c r="A14" s="2" t="s">
        <v>12</v>
      </c>
      <c r="B14">
        <v>36036.800000000003</v>
      </c>
    </row>
    <row r="15" spans="1:2">
      <c r="A15" s="2" t="s">
        <v>13</v>
      </c>
      <c r="B15">
        <v>36953.699999999997</v>
      </c>
    </row>
    <row r="16" spans="1:2">
      <c r="A16" s="2" t="s">
        <v>14</v>
      </c>
      <c r="B16">
        <v>36589.4</v>
      </c>
    </row>
    <row r="17" spans="1:2">
      <c r="A17" s="2" t="s">
        <v>15</v>
      </c>
      <c r="B17">
        <v>35666.1</v>
      </c>
    </row>
    <row r="18" spans="1:2">
      <c r="A18" s="2" t="s">
        <v>16</v>
      </c>
      <c r="B18">
        <v>38151.1</v>
      </c>
    </row>
    <row r="19" spans="1:2">
      <c r="A19" s="2" t="s">
        <v>17</v>
      </c>
      <c r="B19">
        <v>46229.1</v>
      </c>
    </row>
    <row r="20" spans="1:2">
      <c r="A20" s="2" t="s">
        <v>18</v>
      </c>
      <c r="B20">
        <v>47778.5</v>
      </c>
    </row>
    <row r="21" spans="1:2">
      <c r="A21" s="2" t="s">
        <v>19</v>
      </c>
      <c r="B21">
        <v>48509</v>
      </c>
    </row>
    <row r="22" spans="1:2">
      <c r="A22" s="2" t="s">
        <v>20</v>
      </c>
      <c r="B22">
        <v>40751</v>
      </c>
    </row>
    <row r="23" spans="1:2">
      <c r="A23" s="2" t="s">
        <v>21</v>
      </c>
      <c r="B23">
        <v>40467.800000000003</v>
      </c>
    </row>
    <row r="24" spans="1:2">
      <c r="A24" s="2" t="s">
        <v>22</v>
      </c>
      <c r="B24">
        <v>43846.601900000001</v>
      </c>
    </row>
    <row r="25" spans="1:2">
      <c r="A25" s="2" t="s">
        <v>23</v>
      </c>
      <c r="B25">
        <v>42330.8</v>
      </c>
    </row>
    <row r="26" spans="1:2">
      <c r="A26" s="2" t="s">
        <v>24</v>
      </c>
      <c r="B26">
        <v>43143.7</v>
      </c>
    </row>
    <row r="27" spans="1:2">
      <c r="A27" s="2" t="s">
        <v>25</v>
      </c>
      <c r="B27">
        <v>44060.2</v>
      </c>
    </row>
    <row r="28" spans="1:2">
      <c r="A28" s="2" t="s">
        <v>26</v>
      </c>
      <c r="B28">
        <v>44873.599999999999</v>
      </c>
    </row>
    <row r="29" spans="1:2">
      <c r="A29" s="2" t="s">
        <v>27</v>
      </c>
      <c r="B29">
        <v>46232.5</v>
      </c>
    </row>
    <row r="30" spans="1:2">
      <c r="A30" s="2" t="s">
        <v>28</v>
      </c>
      <c r="B30">
        <v>52339.5</v>
      </c>
    </row>
    <row r="31" spans="1:2">
      <c r="A31" s="2" t="s">
        <v>29</v>
      </c>
      <c r="B31">
        <v>52297.599999999999</v>
      </c>
    </row>
    <row r="32" spans="1:2">
      <c r="A32" s="2" t="s">
        <v>30</v>
      </c>
      <c r="B32">
        <v>61190.6</v>
      </c>
    </row>
    <row r="33" spans="1:2">
      <c r="A33" s="2" t="s">
        <v>31</v>
      </c>
      <c r="B33">
        <v>61216.3</v>
      </c>
    </row>
    <row r="34" spans="1:2">
      <c r="A34" s="2" t="s">
        <v>32</v>
      </c>
      <c r="B34">
        <v>55813.3</v>
      </c>
    </row>
    <row r="35" spans="1:2">
      <c r="A35" s="2" t="s">
        <v>33</v>
      </c>
      <c r="B35">
        <v>178348.0019</v>
      </c>
    </row>
    <row r="36" spans="1:2">
      <c r="A36" s="2" t="s">
        <v>34</v>
      </c>
      <c r="B36">
        <v>190554</v>
      </c>
    </row>
    <row r="37" spans="1:2">
      <c r="A37" s="2" t="s">
        <v>35</v>
      </c>
      <c r="B37">
        <v>202026</v>
      </c>
    </row>
    <row r="38" spans="1:2">
      <c r="A38" s="2" t="s">
        <v>36</v>
      </c>
      <c r="B38">
        <v>208527</v>
      </c>
    </row>
    <row r="39" spans="1:2">
      <c r="A39" s="2" t="s">
        <v>37</v>
      </c>
      <c r="B39">
        <v>224925</v>
      </c>
    </row>
    <row r="40" spans="1:2">
      <c r="A40" s="2" t="s">
        <v>38</v>
      </c>
      <c r="B40">
        <v>237951</v>
      </c>
    </row>
    <row r="41" spans="1:2">
      <c r="A41" s="2" t="s">
        <v>39</v>
      </c>
      <c r="B41">
        <v>256540</v>
      </c>
    </row>
    <row r="42" spans="1:2">
      <c r="A42" s="2" t="s">
        <v>40</v>
      </c>
      <c r="B42">
        <v>258537</v>
      </c>
    </row>
    <row r="43" spans="1:2">
      <c r="A43" s="2" t="s">
        <v>41</v>
      </c>
      <c r="B43">
        <v>267261</v>
      </c>
    </row>
    <row r="44" spans="1:2">
      <c r="A44" s="2" t="s">
        <v>42</v>
      </c>
      <c r="B44">
        <v>257035</v>
      </c>
    </row>
    <row r="45" spans="1:2">
      <c r="A45" s="2" t="s">
        <v>43</v>
      </c>
      <c r="B45">
        <v>255884</v>
      </c>
    </row>
    <row r="46" spans="1:2">
      <c r="A46" s="2" t="s">
        <v>44</v>
      </c>
      <c r="B46">
        <v>144603.0019</v>
      </c>
    </row>
    <row r="47" spans="1:2">
      <c r="A47" s="2" t="s">
        <v>45</v>
      </c>
      <c r="B47">
        <v>149422</v>
      </c>
    </row>
    <row r="48" spans="1:2">
      <c r="A48" s="2" t="s">
        <v>46</v>
      </c>
      <c r="B48">
        <v>166344</v>
      </c>
    </row>
    <row r="49" spans="1:2">
      <c r="A49" s="2" t="s">
        <v>47</v>
      </c>
      <c r="B49">
        <v>177677</v>
      </c>
    </row>
    <row r="50" spans="1:2">
      <c r="A50" s="2" t="s">
        <v>48</v>
      </c>
      <c r="B50">
        <v>194520</v>
      </c>
    </row>
    <row r="51" spans="1:2">
      <c r="A51" s="2" t="s">
        <v>49</v>
      </c>
      <c r="B51">
        <v>221690</v>
      </c>
    </row>
    <row r="52" spans="1:2">
      <c r="A52" s="2" t="s">
        <v>50</v>
      </c>
      <c r="B52">
        <v>227339</v>
      </c>
    </row>
    <row r="53" spans="1:2">
      <c r="A53" s="2" t="s">
        <v>51</v>
      </c>
      <c r="B53">
        <v>228037</v>
      </c>
    </row>
    <row r="54" spans="1:2">
      <c r="A54" s="2" t="s">
        <v>52</v>
      </c>
      <c r="B54">
        <v>235194</v>
      </c>
    </row>
    <row r="55" spans="1:2">
      <c r="A55" s="2" t="s">
        <v>53</v>
      </c>
      <c r="B55">
        <v>244718</v>
      </c>
    </row>
    <row r="56" spans="1:2">
      <c r="A56" s="2" t="s">
        <v>54</v>
      </c>
      <c r="B56">
        <v>264037</v>
      </c>
    </row>
    <row r="57" spans="1:2">
      <c r="A57" s="2" t="s">
        <v>55</v>
      </c>
      <c r="B57">
        <v>114469.2019</v>
      </c>
    </row>
    <row r="58" spans="1:2">
      <c r="A58" s="2" t="s">
        <v>56</v>
      </c>
      <c r="B58">
        <v>104353.5</v>
      </c>
    </row>
    <row r="59" spans="1:2">
      <c r="A59" s="2" t="s">
        <v>57</v>
      </c>
      <c r="B59">
        <v>106991.4</v>
      </c>
    </row>
    <row r="60" spans="1:2">
      <c r="A60" s="2" t="s">
        <v>58</v>
      </c>
      <c r="B60">
        <v>103372.4</v>
      </c>
    </row>
    <row r="61" spans="1:2">
      <c r="A61" s="2" t="s">
        <v>59</v>
      </c>
      <c r="B61">
        <v>111683.6</v>
      </c>
    </row>
    <row r="62" spans="1:2">
      <c r="A62" s="2" t="s">
        <v>60</v>
      </c>
      <c r="B62">
        <v>86741.9</v>
      </c>
    </row>
    <row r="63" spans="1:2">
      <c r="A63" s="2" t="s">
        <v>61</v>
      </c>
      <c r="B63">
        <v>86984.7</v>
      </c>
    </row>
    <row r="64" spans="1:2">
      <c r="A64" s="2" t="s">
        <v>62</v>
      </c>
      <c r="B64">
        <v>91885.6</v>
      </c>
    </row>
    <row r="65" spans="1:2">
      <c r="A65" s="2" t="s">
        <v>63</v>
      </c>
      <c r="B65">
        <v>107168.7</v>
      </c>
    </row>
    <row r="66" spans="1:2">
      <c r="A66" s="2" t="s">
        <v>64</v>
      </c>
      <c r="B66">
        <v>114385.2</v>
      </c>
    </row>
    <row r="67" spans="1:2">
      <c r="A67" s="2" t="s">
        <v>65</v>
      </c>
      <c r="B67">
        <v>94179.7</v>
      </c>
    </row>
    <row r="68" spans="1:2">
      <c r="A68" s="2" t="s">
        <v>66</v>
      </c>
      <c r="B68">
        <v>39808.001900000003</v>
      </c>
    </row>
    <row r="69" spans="1:2">
      <c r="A69" s="2" t="s">
        <v>67</v>
      </c>
      <c r="B69">
        <v>41853</v>
      </c>
    </row>
    <row r="70" spans="1:2">
      <c r="A70" s="2" t="s">
        <v>68</v>
      </c>
      <c r="B70">
        <v>45435</v>
      </c>
    </row>
    <row r="71" spans="1:2">
      <c r="A71" s="2" t="s">
        <v>69</v>
      </c>
      <c r="B71">
        <v>45451</v>
      </c>
    </row>
    <row r="72" spans="1:2">
      <c r="A72" s="2" t="s">
        <v>70</v>
      </c>
      <c r="B72">
        <v>49316</v>
      </c>
    </row>
    <row r="73" spans="1:2">
      <c r="A73" s="2" t="s">
        <v>71</v>
      </c>
      <c r="B73">
        <v>54146</v>
      </c>
    </row>
    <row r="74" spans="1:2">
      <c r="A74" s="2" t="s">
        <v>72</v>
      </c>
      <c r="B74">
        <v>57773</v>
      </c>
    </row>
    <row r="75" spans="1:2">
      <c r="A75" s="2" t="s">
        <v>73</v>
      </c>
      <c r="B75">
        <v>58679</v>
      </c>
    </row>
    <row r="76" spans="1:2">
      <c r="A76" s="2" t="s">
        <v>74</v>
      </c>
      <c r="B76">
        <v>64586</v>
      </c>
    </row>
    <row r="77" spans="1:2">
      <c r="A77" s="2" t="s">
        <v>75</v>
      </c>
      <c r="B77">
        <v>64470</v>
      </c>
    </row>
    <row r="78" spans="1:2">
      <c r="A78" s="2" t="s">
        <v>76</v>
      </c>
      <c r="B78">
        <v>62275</v>
      </c>
    </row>
    <row r="79" spans="1:2">
      <c r="A79" s="2" t="s">
        <v>77</v>
      </c>
      <c r="B79">
        <v>26270.001899999999</v>
      </c>
    </row>
    <row r="80" spans="1:2">
      <c r="A80" s="2" t="s">
        <v>78</v>
      </c>
      <c r="B80">
        <v>30266.1</v>
      </c>
    </row>
    <row r="81" spans="1:2">
      <c r="A81" s="2" t="s">
        <v>79</v>
      </c>
      <c r="B81">
        <v>34289.300000000003</v>
      </c>
    </row>
    <row r="82" spans="1:2">
      <c r="A82" s="2" t="s">
        <v>80</v>
      </c>
      <c r="B82">
        <v>37346.9</v>
      </c>
    </row>
    <row r="83" spans="1:2">
      <c r="A83" s="2" t="s">
        <v>81</v>
      </c>
      <c r="B83">
        <v>39222.1</v>
      </c>
    </row>
    <row r="84" spans="1:2">
      <c r="A84" s="2" t="s">
        <v>82</v>
      </c>
      <c r="B84">
        <v>42140.800000000003</v>
      </c>
    </row>
    <row r="85" spans="1:2">
      <c r="A85" s="2" t="s">
        <v>83</v>
      </c>
      <c r="B85">
        <v>46416.2</v>
      </c>
    </row>
    <row r="86" spans="1:2">
      <c r="A86" s="2" t="s">
        <v>84</v>
      </c>
      <c r="B86">
        <v>47863.7</v>
      </c>
    </row>
    <row r="87" spans="1:2">
      <c r="A87" s="2" t="s">
        <v>85</v>
      </c>
      <c r="B87">
        <v>55653.599999999999</v>
      </c>
    </row>
    <row r="88" spans="1:2">
      <c r="A88" s="2" t="s">
        <v>86</v>
      </c>
      <c r="B88">
        <v>56251.199999999997</v>
      </c>
    </row>
    <row r="89" spans="1:2">
      <c r="A89" s="2" t="s">
        <v>87</v>
      </c>
      <c r="B89">
        <v>58595.6</v>
      </c>
    </row>
    <row r="90" spans="1:2">
      <c r="A90" s="2" t="s">
        <v>88</v>
      </c>
      <c r="B90">
        <v>28356.7019</v>
      </c>
    </row>
    <row r="91" spans="1:2">
      <c r="A91" s="2" t="s">
        <v>89</v>
      </c>
      <c r="B91">
        <v>29387.1</v>
      </c>
    </row>
    <row r="92" spans="1:2">
      <c r="A92" s="2" t="s">
        <v>90</v>
      </c>
      <c r="B92">
        <v>33669.5</v>
      </c>
    </row>
    <row r="93" spans="1:2">
      <c r="A93" s="2" t="s">
        <v>91</v>
      </c>
      <c r="B93">
        <v>33729.199999999997</v>
      </c>
    </row>
    <row r="94" spans="1:2">
      <c r="A94" s="2" t="s">
        <v>92</v>
      </c>
      <c r="B94">
        <v>30976.6</v>
      </c>
    </row>
    <row r="95" spans="1:2">
      <c r="A95" s="2" t="s">
        <v>93</v>
      </c>
      <c r="B95">
        <v>31347.5</v>
      </c>
    </row>
    <row r="96" spans="1:2">
      <c r="A96" s="2" t="s">
        <v>94</v>
      </c>
      <c r="B96">
        <v>39731.5</v>
      </c>
    </row>
    <row r="97" spans="1:2">
      <c r="A97" s="2" t="s">
        <v>95</v>
      </c>
      <c r="B97">
        <v>38796.1</v>
      </c>
    </row>
    <row r="98" spans="1:2">
      <c r="A98" s="2" t="s">
        <v>96</v>
      </c>
      <c r="B98">
        <v>44349.8</v>
      </c>
    </row>
    <row r="99" spans="1:2">
      <c r="A99" s="2" t="s">
        <v>97</v>
      </c>
      <c r="B99">
        <v>45002.2</v>
      </c>
    </row>
    <row r="100" spans="1:2">
      <c r="A100" s="2" t="s">
        <v>98</v>
      </c>
      <c r="B100">
        <v>43845.7</v>
      </c>
    </row>
    <row r="101" spans="1:2">
      <c r="A101" s="2" t="s">
        <v>99</v>
      </c>
      <c r="B101">
        <v>134565.5019</v>
      </c>
    </row>
    <row r="102" spans="1:2">
      <c r="A102" s="2" t="s">
        <v>100</v>
      </c>
      <c r="B102">
        <v>136225.20000000001</v>
      </c>
    </row>
    <row r="103" spans="1:2">
      <c r="A103" s="2" t="s">
        <v>101</v>
      </c>
      <c r="B103">
        <v>142793.1</v>
      </c>
    </row>
    <row r="104" spans="1:2">
      <c r="A104" s="2" t="s">
        <v>102</v>
      </c>
      <c r="B104">
        <v>142153.79999999999</v>
      </c>
    </row>
    <row r="105" spans="1:2">
      <c r="A105" s="2" t="s">
        <v>103</v>
      </c>
      <c r="B105">
        <v>154597.29999999999</v>
      </c>
    </row>
    <row r="106" spans="1:2">
      <c r="A106" s="2" t="s">
        <v>104</v>
      </c>
      <c r="B106">
        <v>165344.29999999999</v>
      </c>
    </row>
    <row r="107" spans="1:2">
      <c r="A107" s="2" t="s">
        <v>105</v>
      </c>
      <c r="B107">
        <v>171251</v>
      </c>
    </row>
    <row r="108" spans="1:2">
      <c r="A108" s="2" t="s">
        <v>106</v>
      </c>
      <c r="B108">
        <v>157089.9</v>
      </c>
    </row>
    <row r="109" spans="1:2">
      <c r="A109" s="2" t="s">
        <v>107</v>
      </c>
      <c r="B109">
        <v>148752.9</v>
      </c>
    </row>
    <row r="110" spans="1:2">
      <c r="A110" s="2" t="s">
        <v>108</v>
      </c>
      <c r="B110">
        <v>134844.6</v>
      </c>
    </row>
    <row r="111" spans="1:2">
      <c r="A111" s="2" t="s">
        <v>109</v>
      </c>
      <c r="B111">
        <v>132579.29999999999</v>
      </c>
    </row>
    <row r="112" spans="1:2">
      <c r="A112" s="2" t="s">
        <v>110</v>
      </c>
      <c r="B112">
        <v>80226.7019</v>
      </c>
    </row>
    <row r="113" spans="1:2">
      <c r="A113" s="2" t="s">
        <v>111</v>
      </c>
      <c r="B113">
        <v>57423.5</v>
      </c>
    </row>
    <row r="114" spans="1:2">
      <c r="A114" s="2" t="s">
        <v>112</v>
      </c>
      <c r="B114">
        <v>50626.3</v>
      </c>
    </row>
    <row r="115" spans="1:2">
      <c r="A115" s="2" t="s">
        <v>113</v>
      </c>
      <c r="B115">
        <v>49678.5</v>
      </c>
    </row>
    <row r="116" spans="1:2">
      <c r="A116" s="2" t="s">
        <v>114</v>
      </c>
      <c r="B116">
        <v>49804.1</v>
      </c>
    </row>
    <row r="117" spans="1:2">
      <c r="A117" s="2" t="s">
        <v>115</v>
      </c>
      <c r="B117">
        <v>53702.2</v>
      </c>
    </row>
    <row r="118" spans="1:2">
      <c r="A118" s="2" t="s">
        <v>116</v>
      </c>
      <c r="B118">
        <v>54341.1</v>
      </c>
    </row>
    <row r="119" spans="1:2">
      <c r="A119" s="2" t="s">
        <v>117</v>
      </c>
      <c r="B119">
        <v>57541.599999999999</v>
      </c>
    </row>
    <row r="120" spans="1:2">
      <c r="A120" s="2" t="s">
        <v>118</v>
      </c>
      <c r="B120">
        <v>61908.4</v>
      </c>
    </row>
    <row r="121" spans="1:2">
      <c r="A121" s="2" t="s">
        <v>119</v>
      </c>
      <c r="B121">
        <v>66086.7</v>
      </c>
    </row>
    <row r="122" spans="1:2">
      <c r="A122" s="2" t="s">
        <v>120</v>
      </c>
      <c r="B122">
        <v>60716.6</v>
      </c>
    </row>
    <row r="123" spans="1:2">
      <c r="A123" s="2" t="s">
        <v>121</v>
      </c>
      <c r="B123">
        <v>135131.80189999999</v>
      </c>
    </row>
    <row r="124" spans="1:2">
      <c r="A124" s="2" t="s">
        <v>122</v>
      </c>
      <c r="B124">
        <v>169154.6</v>
      </c>
    </row>
    <row r="125" spans="1:2">
      <c r="A125" s="2" t="s">
        <v>123</v>
      </c>
      <c r="B125">
        <v>202876.2</v>
      </c>
    </row>
    <row r="126" spans="1:2">
      <c r="A126" s="2" t="s">
        <v>124</v>
      </c>
      <c r="B126">
        <v>209666</v>
      </c>
    </row>
    <row r="127" spans="1:2">
      <c r="A127" s="2" t="s">
        <v>125</v>
      </c>
      <c r="B127">
        <v>206585</v>
      </c>
    </row>
    <row r="128" spans="1:2">
      <c r="A128" s="2" t="s">
        <v>126</v>
      </c>
      <c r="B128">
        <v>217103.6</v>
      </c>
    </row>
    <row r="129" spans="1:2">
      <c r="A129" s="2" t="s">
        <v>127</v>
      </c>
      <c r="B129">
        <v>304165.3</v>
      </c>
    </row>
    <row r="130" spans="1:2">
      <c r="A130" s="2" t="s">
        <v>128</v>
      </c>
      <c r="B130">
        <v>304907.5</v>
      </c>
    </row>
    <row r="131" spans="1:2">
      <c r="A131" s="2" t="s">
        <v>129</v>
      </c>
      <c r="B131">
        <v>347991.8</v>
      </c>
    </row>
    <row r="132" spans="1:2">
      <c r="A132" s="2" t="s">
        <v>130</v>
      </c>
      <c r="B132">
        <v>358981.8</v>
      </c>
    </row>
    <row r="133" spans="1:2">
      <c r="A133" s="2" t="s">
        <v>131</v>
      </c>
      <c r="B133">
        <v>356469.6</v>
      </c>
    </row>
    <row r="134" spans="1:2">
      <c r="A134" s="2" t="s">
        <v>132</v>
      </c>
      <c r="B134">
        <v>161590.5019</v>
      </c>
    </row>
    <row r="135" spans="1:2">
      <c r="A135" s="2" t="s">
        <v>133</v>
      </c>
      <c r="B135">
        <v>151130.79999999999</v>
      </c>
    </row>
    <row r="136" spans="1:2">
      <c r="A136" s="2" t="s">
        <v>134</v>
      </c>
      <c r="B136">
        <v>148914.5</v>
      </c>
    </row>
    <row r="137" spans="1:2">
      <c r="A137" s="2" t="s">
        <v>135</v>
      </c>
      <c r="B137">
        <v>132051.79999999999</v>
      </c>
    </row>
    <row r="138" spans="1:2">
      <c r="A138" s="2" t="s">
        <v>136</v>
      </c>
      <c r="B138">
        <v>148366.20000000001</v>
      </c>
    </row>
    <row r="139" spans="1:2">
      <c r="A139" s="2" t="s">
        <v>137</v>
      </c>
      <c r="B139">
        <v>158518.6</v>
      </c>
    </row>
    <row r="140" spans="1:2">
      <c r="A140" s="2" t="s">
        <v>138</v>
      </c>
      <c r="B140">
        <v>189586.9</v>
      </c>
    </row>
    <row r="141" spans="1:2">
      <c r="A141" s="2" t="s">
        <v>139</v>
      </c>
      <c r="B141">
        <v>213189.1</v>
      </c>
    </row>
    <row r="142" spans="1:2">
      <c r="A142" s="2" t="s">
        <v>140</v>
      </c>
      <c r="B142">
        <v>238289.7</v>
      </c>
    </row>
    <row r="143" spans="1:2">
      <c r="A143" s="2" t="s">
        <v>141</v>
      </c>
      <c r="B143">
        <v>251058.1</v>
      </c>
    </row>
    <row r="144" spans="1:2">
      <c r="A144" s="2" t="s">
        <v>142</v>
      </c>
      <c r="B144">
        <v>241383.3</v>
      </c>
    </row>
    <row r="145" spans="1:2">
      <c r="A145" s="2" t="s">
        <v>143</v>
      </c>
      <c r="B145" s="5">
        <f>(66881036000/6.463)/1000000</f>
        <v>10348.295837846201</v>
      </c>
    </row>
    <row r="146" spans="1:2">
      <c r="A146" s="2" t="s">
        <v>144</v>
      </c>
      <c r="B146" s="5">
        <f>(70007807000/6.3093)/1000000</f>
        <v>11095.970551408238</v>
      </c>
    </row>
    <row r="147" spans="1:2">
      <c r="A147" s="2" t="s">
        <v>145</v>
      </c>
      <c r="B147" s="5">
        <f>(78014834000/6.1478)/1000000</f>
        <v>12689.878330459676</v>
      </c>
    </row>
    <row r="148" spans="1:2">
      <c r="A148" s="2" t="s">
        <v>146</v>
      </c>
      <c r="B148" s="5">
        <f>(94008855000/6.162)/1000000</f>
        <v>15256.224440116846</v>
      </c>
    </row>
    <row r="149" spans="1:2">
      <c r="A149" s="2" t="s">
        <v>147</v>
      </c>
      <c r="B149" s="5">
        <f>(115485755000/6.2827)/1000000</f>
        <v>18381.548538048926</v>
      </c>
    </row>
    <row r="150" spans="1:2">
      <c r="A150" s="2" t="s">
        <v>148</v>
      </c>
      <c r="B150" s="5">
        <f>(145070778000/6.64)/1000000</f>
        <v>21848.008734939758</v>
      </c>
    </row>
    <row r="151" spans="1:2">
      <c r="A151" s="2" t="s">
        <v>149</v>
      </c>
      <c r="B151" s="5">
        <f>(194571077000/6.609)/1000000</f>
        <v>29440.320320774699</v>
      </c>
    </row>
    <row r="152" spans="1:2">
      <c r="A152" s="2" t="s">
        <v>150</v>
      </c>
      <c r="B152" s="5">
        <f>(195641593000/6.9081)/1000000</f>
        <v>28320.608126691852</v>
      </c>
    </row>
    <row r="153" spans="1:2">
      <c r="A153" s="2" t="s">
        <v>151</v>
      </c>
      <c r="B153" s="5">
        <f>(201017321000/6.9042)/1000000</f>
        <v>29115.22276295588</v>
      </c>
    </row>
    <row r="154" spans="1:2">
      <c r="A154" s="2" t="s">
        <v>152</v>
      </c>
      <c r="B154">
        <v>46564.2</v>
      </c>
    </row>
    <row r="155" spans="1:2">
      <c r="A155" s="2" t="s">
        <v>153</v>
      </c>
      <c r="B155">
        <v>71603.100000000006</v>
      </c>
    </row>
    <row r="156" spans="1:2">
      <c r="A156" s="2" t="s">
        <v>154</v>
      </c>
      <c r="B156" s="7">
        <v>713.44799999999998</v>
      </c>
    </row>
    <row r="157" spans="1:2">
      <c r="A157" s="2" t="s">
        <v>155</v>
      </c>
      <c r="B157" s="7">
        <v>1114.19</v>
      </c>
    </row>
    <row r="158" spans="1:2">
      <c r="A158" s="2" t="s">
        <v>156</v>
      </c>
      <c r="B158" s="7">
        <v>2416.9299999999998</v>
      </c>
    </row>
    <row r="159" spans="1:2">
      <c r="A159" s="2" t="s">
        <v>157</v>
      </c>
      <c r="B159" s="7">
        <v>5830.6670000000004</v>
      </c>
    </row>
    <row r="160" spans="1:2">
      <c r="A160" s="2" t="s">
        <v>158</v>
      </c>
      <c r="B160" s="7">
        <v>8067.9390000000003</v>
      </c>
    </row>
    <row r="161" spans="1:2">
      <c r="A161" s="2" t="s">
        <v>159</v>
      </c>
      <c r="B161" s="7">
        <v>22664.076000000001</v>
      </c>
    </row>
    <row r="162" spans="1:2">
      <c r="A162" s="2" t="s">
        <v>160</v>
      </c>
      <c r="B162" s="7">
        <v>29740</v>
      </c>
    </row>
    <row r="163" spans="1:2">
      <c r="A163" s="2" t="s">
        <v>161</v>
      </c>
      <c r="B163" s="7">
        <v>34309</v>
      </c>
    </row>
    <row r="164" spans="1:2">
      <c r="A164" s="2" t="s">
        <v>162</v>
      </c>
      <c r="B164">
        <v>52148</v>
      </c>
    </row>
    <row r="165" spans="1:2">
      <c r="A165" s="2" t="s">
        <v>163</v>
      </c>
      <c r="B165">
        <v>62131</v>
      </c>
    </row>
    <row r="166" spans="1:2">
      <c r="A166" s="2" t="s">
        <v>164</v>
      </c>
      <c r="B166">
        <v>82338</v>
      </c>
    </row>
    <row r="167" spans="1:2">
      <c r="A167" s="2" t="s">
        <v>165</v>
      </c>
      <c r="B167">
        <v>329282.60190000001</v>
      </c>
    </row>
    <row r="168" spans="1:2">
      <c r="A168" s="2" t="s">
        <v>166</v>
      </c>
      <c r="B168">
        <v>408172.5</v>
      </c>
    </row>
    <row r="169" spans="1:2">
      <c r="A169" s="2" t="s">
        <v>167</v>
      </c>
      <c r="B169">
        <v>446866</v>
      </c>
    </row>
    <row r="170" spans="1:2">
      <c r="A170" s="2" t="s">
        <v>168</v>
      </c>
      <c r="B170">
        <v>424935.3</v>
      </c>
    </row>
    <row r="171" spans="1:2">
      <c r="A171" s="2" t="s">
        <v>169</v>
      </c>
      <c r="B171">
        <v>414857.7</v>
      </c>
    </row>
    <row r="172" spans="1:2">
      <c r="A172" s="2" t="s">
        <v>170</v>
      </c>
      <c r="B172">
        <v>432115.6</v>
      </c>
    </row>
    <row r="173" spans="1:2">
      <c r="A173" s="2" t="s">
        <v>171</v>
      </c>
      <c r="B173">
        <v>523672.3</v>
      </c>
    </row>
    <row r="174" spans="1:2">
      <c r="A174" s="2" t="s">
        <v>172</v>
      </c>
      <c r="B174">
        <v>547810.9</v>
      </c>
    </row>
    <row r="175" spans="1:2">
      <c r="A175" s="2" t="s">
        <v>173</v>
      </c>
      <c r="B175">
        <v>608368.1</v>
      </c>
    </row>
    <row r="176" spans="1:2">
      <c r="A176" s="2" t="s">
        <v>174</v>
      </c>
      <c r="B176">
        <v>601028.4</v>
      </c>
    </row>
    <row r="177" spans="1:2">
      <c r="A177" s="2" t="s">
        <v>175</v>
      </c>
      <c r="B177">
        <v>602611.69999999995</v>
      </c>
    </row>
    <row r="178" spans="1:2">
      <c r="A178" s="2" t="s">
        <v>176</v>
      </c>
      <c r="B178">
        <v>51543.601900000001</v>
      </c>
    </row>
    <row r="179" spans="1:2">
      <c r="A179" s="2" t="s">
        <v>177</v>
      </c>
      <c r="B179">
        <v>52087.7</v>
      </c>
    </row>
    <row r="180" spans="1:2">
      <c r="A180" s="2" t="s">
        <v>178</v>
      </c>
      <c r="B180">
        <v>53710.9</v>
      </c>
    </row>
    <row r="181" spans="1:2">
      <c r="A181" s="2" t="s">
        <v>179</v>
      </c>
      <c r="B181">
        <v>48938</v>
      </c>
    </row>
    <row r="182" spans="1:2">
      <c r="A182" s="2" t="s">
        <v>180</v>
      </c>
      <c r="B182">
        <v>44394.400000000001</v>
      </c>
    </row>
    <row r="183" spans="1:2">
      <c r="A183" s="2" t="s">
        <v>181</v>
      </c>
      <c r="B183">
        <v>43924.3</v>
      </c>
    </row>
    <row r="184" spans="1:2">
      <c r="A184" s="2" t="s">
        <v>182</v>
      </c>
      <c r="B184">
        <v>53558.6</v>
      </c>
    </row>
    <row r="185" spans="1:2">
      <c r="A185" s="2" t="s">
        <v>183</v>
      </c>
      <c r="B185">
        <v>56077.1</v>
      </c>
    </row>
    <row r="186" spans="1:2">
      <c r="A186" s="2" t="s">
        <v>184</v>
      </c>
      <c r="B186">
        <v>62266.400000000001</v>
      </c>
    </row>
    <row r="187" spans="1:2">
      <c r="A187" s="2" t="s">
        <v>185</v>
      </c>
      <c r="B187">
        <v>56991.8</v>
      </c>
    </row>
    <row r="188" spans="1:2">
      <c r="A188" s="2" t="s">
        <v>186</v>
      </c>
      <c r="B188">
        <v>60368.5</v>
      </c>
    </row>
    <row r="189" spans="1:2">
      <c r="A189" s="2" t="s">
        <v>187</v>
      </c>
      <c r="B189">
        <v>16718.601900000001</v>
      </c>
    </row>
    <row r="190" spans="1:2">
      <c r="A190" s="2" t="s">
        <v>188</v>
      </c>
      <c r="B190">
        <v>18179.2</v>
      </c>
    </row>
    <row r="191" spans="1:2">
      <c r="A191" s="2" t="s">
        <v>189</v>
      </c>
      <c r="B191">
        <v>20839.7</v>
      </c>
    </row>
    <row r="192" spans="1:2">
      <c r="A192" s="2" t="s">
        <v>190</v>
      </c>
      <c r="B192">
        <v>20975.7</v>
      </c>
    </row>
    <row r="193" spans="1:2">
      <c r="A193" s="2" t="s">
        <v>191</v>
      </c>
      <c r="B193">
        <v>24838.9</v>
      </c>
    </row>
    <row r="194" spans="1:2">
      <c r="A194" s="2" t="s">
        <v>192</v>
      </c>
      <c r="B194">
        <v>29749</v>
      </c>
    </row>
    <row r="195" spans="1:2">
      <c r="A195" s="2" t="s">
        <v>193</v>
      </c>
      <c r="B195">
        <v>48564.800000000003</v>
      </c>
    </row>
    <row r="196" spans="1:2">
      <c r="A196" s="2" t="s">
        <v>194</v>
      </c>
      <c r="B196">
        <v>56805.2</v>
      </c>
    </row>
    <row r="197" spans="1:2">
      <c r="A197" s="2" t="s">
        <v>195</v>
      </c>
      <c r="B197">
        <v>74391.399999999994</v>
      </c>
    </row>
    <row r="198" spans="1:2">
      <c r="A198" s="2" t="s">
        <v>196</v>
      </c>
      <c r="B198">
        <v>81583.899999999994</v>
      </c>
    </row>
    <row r="199" spans="1:2">
      <c r="A199" s="2" t="s">
        <v>197</v>
      </c>
      <c r="B199">
        <v>81290.5</v>
      </c>
    </row>
    <row r="200" spans="1:2">
      <c r="A200" s="2" t="s">
        <v>198</v>
      </c>
      <c r="B200">
        <v>57166.401899999997</v>
      </c>
    </row>
    <row r="201" spans="1:2">
      <c r="A201" s="2" t="s">
        <v>199</v>
      </c>
      <c r="B201">
        <v>70404.399999999994</v>
      </c>
    </row>
    <row r="202" spans="1:2">
      <c r="A202" s="2" t="s">
        <v>200</v>
      </c>
      <c r="B202">
        <v>77599.399999999994</v>
      </c>
    </row>
    <row r="203" spans="1:2">
      <c r="A203" s="2" t="s">
        <v>201</v>
      </c>
      <c r="B203">
        <v>77934</v>
      </c>
    </row>
    <row r="204" spans="1:2">
      <c r="A204" s="2" t="s">
        <v>202</v>
      </c>
      <c r="B204">
        <v>70287.199999999997</v>
      </c>
    </row>
    <row r="205" spans="1:2">
      <c r="A205" s="2" t="s">
        <v>203</v>
      </c>
      <c r="B205">
        <v>80435.8</v>
      </c>
    </row>
    <row r="206" spans="1:2">
      <c r="A206" s="2" t="s">
        <v>204</v>
      </c>
      <c r="B206">
        <v>110012.9</v>
      </c>
    </row>
    <row r="207" spans="1:2">
      <c r="A207" s="2" t="s">
        <v>205</v>
      </c>
      <c r="B207">
        <v>110790.39999999999</v>
      </c>
    </row>
    <row r="208" spans="1:2">
      <c r="A208" s="2" t="s">
        <v>206</v>
      </c>
      <c r="B208">
        <v>130845.6</v>
      </c>
    </row>
    <row r="209" spans="1:2">
      <c r="A209" s="2" t="s">
        <v>207</v>
      </c>
      <c r="B209">
        <v>141043.5</v>
      </c>
    </row>
    <row r="210" spans="1:2">
      <c r="A210" s="2" t="s">
        <v>208</v>
      </c>
      <c r="B210">
        <v>134617.70000000001</v>
      </c>
    </row>
    <row r="211" spans="1:2">
      <c r="A211" s="2" t="s">
        <v>209</v>
      </c>
      <c r="B211">
        <v>372520.20189999999</v>
      </c>
    </row>
    <row r="212" spans="1:2">
      <c r="A212" s="2" t="s">
        <v>210</v>
      </c>
      <c r="B212">
        <v>377482.1</v>
      </c>
    </row>
    <row r="213" spans="1:2">
      <c r="A213" s="2" t="s">
        <v>211</v>
      </c>
      <c r="B213">
        <v>402422.8</v>
      </c>
    </row>
    <row r="214" spans="1:2">
      <c r="A214" s="2" t="s">
        <v>212</v>
      </c>
      <c r="B214">
        <v>398047.1</v>
      </c>
    </row>
    <row r="215" spans="1:2">
      <c r="A215" s="2" t="s">
        <v>213</v>
      </c>
      <c r="B215">
        <v>422028.79999999999</v>
      </c>
    </row>
    <row r="216" spans="1:2">
      <c r="A216" s="2" t="s">
        <v>214</v>
      </c>
      <c r="B216">
        <v>437574.6</v>
      </c>
    </row>
    <row r="217" spans="1:2">
      <c r="A217" s="2" t="s">
        <v>215</v>
      </c>
      <c r="B217">
        <v>469295.6</v>
      </c>
    </row>
    <row r="218" spans="1:2">
      <c r="A218" s="2" t="s">
        <v>216</v>
      </c>
      <c r="B218">
        <v>487465.9</v>
      </c>
    </row>
    <row r="219" spans="1:2">
      <c r="A219" s="2" t="s">
        <v>217</v>
      </c>
      <c r="B219">
        <v>562994</v>
      </c>
    </row>
    <row r="220" spans="1:2">
      <c r="A220" s="2" t="s">
        <v>218</v>
      </c>
      <c r="B220">
        <v>557522.19999999995</v>
      </c>
    </row>
    <row r="221" spans="1:2">
      <c r="A221" s="2" t="s">
        <v>219</v>
      </c>
      <c r="B221">
        <v>559764.80000000005</v>
      </c>
    </row>
    <row r="222" spans="1:2">
      <c r="A222" s="2" t="s">
        <v>220</v>
      </c>
      <c r="B222" s="2">
        <v>14679.001899999999</v>
      </c>
    </row>
    <row r="223" spans="1:2">
      <c r="A223" s="2" t="s">
        <v>221</v>
      </c>
      <c r="B223">
        <v>17109</v>
      </c>
    </row>
    <row r="224" spans="1:2">
      <c r="A224" s="2" t="s">
        <v>222</v>
      </c>
      <c r="B224">
        <v>17990</v>
      </c>
    </row>
    <row r="225" spans="1:2">
      <c r="A225" s="2" t="s">
        <v>223</v>
      </c>
      <c r="B225">
        <v>18139</v>
      </c>
    </row>
    <row r="226" spans="1:2">
      <c r="A226" s="2" t="s">
        <v>224</v>
      </c>
      <c r="B226">
        <v>19706</v>
      </c>
    </row>
    <row r="227" spans="1:2">
      <c r="A227" s="2" t="s">
        <v>225</v>
      </c>
      <c r="B227">
        <v>22566</v>
      </c>
    </row>
    <row r="228" spans="1:2">
      <c r="A228" s="2" t="s">
        <v>226</v>
      </c>
      <c r="B228">
        <v>25945</v>
      </c>
    </row>
    <row r="229" spans="1:2">
      <c r="A229" s="2" t="s">
        <v>227</v>
      </c>
      <c r="B229">
        <v>25790</v>
      </c>
    </row>
    <row r="230" spans="1:2">
      <c r="A230" s="2" t="s">
        <v>228</v>
      </c>
      <c r="B230">
        <v>28605</v>
      </c>
    </row>
    <row r="231" spans="1:2">
      <c r="A231" s="2" t="s">
        <v>229</v>
      </c>
      <c r="B231">
        <v>29086</v>
      </c>
    </row>
    <row r="232" spans="1:2">
      <c r="A232" s="2" t="s">
        <v>230</v>
      </c>
      <c r="B232">
        <v>27789</v>
      </c>
    </row>
    <row r="233" spans="1:2">
      <c r="A233" s="2" t="s">
        <v>231</v>
      </c>
      <c r="B233" s="4">
        <f>(18913*1000000*0.893435632183908)/1000000</f>
        <v>16897.548111494252</v>
      </c>
    </row>
    <row r="234" spans="1:2">
      <c r="A234" s="2" t="s">
        <v>232</v>
      </c>
      <c r="B234" s="4">
        <f>(18835*1000000*0.877024904214559)/1000000</f>
        <v>16518.764070881221</v>
      </c>
    </row>
    <row r="235" spans="1:2">
      <c r="A235" s="2" t="s">
        <v>233</v>
      </c>
      <c r="B235" s="4">
        <f>(18835*1000000*0.845999233716476)/1000000</f>
        <v>15934.395567049825</v>
      </c>
    </row>
    <row r="236" spans="1:2">
      <c r="A236" s="2" t="s">
        <v>234</v>
      </c>
      <c r="B236" s="4">
        <f>(22029*1000000*0.951457307692308)/1000000</f>
        <v>20959.653031153852</v>
      </c>
    </row>
    <row r="237" spans="1:2">
      <c r="A237" s="2" t="s">
        <v>235</v>
      </c>
      <c r="B237" s="4">
        <v>11047</v>
      </c>
    </row>
    <row r="238" spans="1:2">
      <c r="A238" s="2" t="s">
        <v>236</v>
      </c>
      <c r="B238" s="4">
        <v>10721</v>
      </c>
    </row>
    <row r="239" spans="1:2">
      <c r="A239" s="2" t="s">
        <v>237</v>
      </c>
      <c r="B239" s="4">
        <v>11973</v>
      </c>
    </row>
    <row r="240" spans="1:2">
      <c r="A240" s="2" t="s">
        <v>238</v>
      </c>
      <c r="B240" s="4">
        <v>12292</v>
      </c>
    </row>
    <row r="241" spans="1:2">
      <c r="A241" s="2" t="s">
        <v>278</v>
      </c>
      <c r="B241" s="8">
        <v>12480</v>
      </c>
    </row>
    <row r="242" spans="1:2">
      <c r="A242" s="2" t="s">
        <v>240</v>
      </c>
      <c r="B242" s="4">
        <v>13459</v>
      </c>
    </row>
    <row r="243" spans="1:2">
      <c r="A243" s="2" t="s">
        <v>241</v>
      </c>
      <c r="B243" s="4">
        <v>17522</v>
      </c>
    </row>
    <row r="244" spans="1:2">
      <c r="A244" s="2" t="s">
        <v>242</v>
      </c>
      <c r="B244" s="4">
        <v>18007</v>
      </c>
    </row>
    <row r="245" spans="1:2">
      <c r="A245" s="2" t="s">
        <v>243</v>
      </c>
      <c r="B245" s="4">
        <v>21884</v>
      </c>
    </row>
    <row r="246" spans="1:2">
      <c r="A246" s="2" t="s">
        <v>244</v>
      </c>
      <c r="B246" s="4">
        <v>36422</v>
      </c>
    </row>
    <row r="247" spans="1:2">
      <c r="A247" s="2" t="s">
        <v>245</v>
      </c>
      <c r="B247" s="4">
        <v>43012</v>
      </c>
    </row>
    <row r="248" spans="1:2">
      <c r="A248" s="2" t="s">
        <v>246</v>
      </c>
      <c r="B248">
        <v>45516</v>
      </c>
    </row>
    <row r="249" spans="1:2">
      <c r="A249" s="2" t="s">
        <v>247</v>
      </c>
      <c r="B249">
        <v>48574</v>
      </c>
    </row>
    <row r="250" spans="1:2">
      <c r="A250" s="2" t="s">
        <v>248</v>
      </c>
      <c r="B250">
        <v>50796</v>
      </c>
    </row>
    <row r="251" spans="1:2">
      <c r="A251" s="2" t="s">
        <v>249</v>
      </c>
      <c r="B251">
        <v>52359</v>
      </c>
    </row>
    <row r="252" spans="1:2">
      <c r="A252" s="2" t="s">
        <v>279</v>
      </c>
      <c r="B252" s="8">
        <v>32686</v>
      </c>
    </row>
    <row r="253" spans="1:2">
      <c r="A253" s="2" t="s">
        <v>251</v>
      </c>
      <c r="B253" s="4">
        <v>32957</v>
      </c>
    </row>
    <row r="254" spans="1:2">
      <c r="A254" s="2" t="s">
        <v>252</v>
      </c>
      <c r="B254" s="4">
        <v>35594</v>
      </c>
    </row>
    <row r="255" spans="1:2">
      <c r="A255" s="2" t="s">
        <v>253</v>
      </c>
      <c r="B255">
        <v>41240</v>
      </c>
    </row>
    <row r="256" spans="1:2">
      <c r="A256" s="2" t="s">
        <v>254</v>
      </c>
      <c r="B256">
        <v>49014</v>
      </c>
    </row>
    <row r="257" spans="1:2">
      <c r="A257" s="2" t="s">
        <v>255</v>
      </c>
      <c r="B257" s="8">
        <f>(3708439/1000000)*1000</f>
        <v>3708.4389999999999</v>
      </c>
    </row>
    <row r="258" spans="1:2">
      <c r="A258" s="2" t="s">
        <v>256</v>
      </c>
      <c r="B258" s="8">
        <f>(7330360/1000000)*1000</f>
        <v>7330.36</v>
      </c>
    </row>
    <row r="259" spans="1:2">
      <c r="A259" s="2" t="s">
        <v>257</v>
      </c>
      <c r="B259" s="8">
        <f>(11726016/1000000)*1000</f>
        <v>11726.016</v>
      </c>
    </row>
    <row r="260" spans="1:2">
      <c r="A260" s="2" t="s">
        <v>258</v>
      </c>
      <c r="B260" s="8">
        <f>(16062518/1000000)*1000</f>
        <v>16062.518</v>
      </c>
    </row>
    <row r="261" spans="1:2">
      <c r="A261" s="2" t="s">
        <v>259</v>
      </c>
      <c r="B261" s="8">
        <f>(22824616/1000000)*1000</f>
        <v>22824.615999999998</v>
      </c>
    </row>
    <row r="262" spans="1:2">
      <c r="A262" s="2" t="s">
        <v>260</v>
      </c>
      <c r="B262" s="8">
        <f>(26213076/1000000)*1000</f>
        <v>26213.076000000001</v>
      </c>
    </row>
    <row r="263" spans="1:2">
      <c r="A263" s="2" t="s">
        <v>280</v>
      </c>
      <c r="B263" s="8">
        <v>43279</v>
      </c>
    </row>
    <row r="264" spans="1:2">
      <c r="A264" s="2" t="s">
        <v>262</v>
      </c>
      <c r="B264" s="8">
        <v>43280</v>
      </c>
    </row>
    <row r="265" spans="1:2">
      <c r="A265" s="2" t="s">
        <v>263</v>
      </c>
      <c r="B265" s="8">
        <v>50990</v>
      </c>
    </row>
    <row r="266" spans="1:2">
      <c r="A266" s="2" t="s">
        <v>264</v>
      </c>
      <c r="B266" s="8">
        <v>59636</v>
      </c>
    </row>
    <row r="267" spans="1:2">
      <c r="A267" s="2" t="s">
        <v>265</v>
      </c>
      <c r="B267" s="8">
        <v>56686</v>
      </c>
    </row>
    <row r="268" spans="1:2">
      <c r="A268" s="2" t="s">
        <v>266</v>
      </c>
      <c r="B268" s="8">
        <v>20497</v>
      </c>
    </row>
    <row r="269" spans="1:2">
      <c r="A269" s="2" t="s">
        <v>267</v>
      </c>
      <c r="B269" s="8">
        <v>20021</v>
      </c>
    </row>
    <row r="270" spans="1:2">
      <c r="A270" s="2" t="s">
        <v>268</v>
      </c>
      <c r="B270" s="8">
        <v>18938</v>
      </c>
    </row>
    <row r="271" spans="1:2">
      <c r="A271" s="2" t="s">
        <v>269</v>
      </c>
      <c r="B271" s="8">
        <v>17722</v>
      </c>
    </row>
    <row r="272" spans="1:2">
      <c r="A272" s="2" t="s">
        <v>270</v>
      </c>
      <c r="B272" s="8">
        <v>16230</v>
      </c>
    </row>
    <row r="273" spans="1:2">
      <c r="A273" s="2" t="s">
        <v>271</v>
      </c>
      <c r="B273" s="8">
        <v>16431</v>
      </c>
    </row>
    <row r="274" spans="1:2">
      <c r="A274" s="2" t="s">
        <v>281</v>
      </c>
      <c r="B274" s="8">
        <v>17137</v>
      </c>
    </row>
    <row r="275" spans="1:2">
      <c r="A275" s="2" t="s">
        <v>273</v>
      </c>
      <c r="B275" s="8">
        <v>18018</v>
      </c>
    </row>
    <row r="276" spans="1:2">
      <c r="A276" s="2" t="s">
        <v>274</v>
      </c>
      <c r="B276" s="8">
        <v>19351</v>
      </c>
    </row>
    <row r="277" spans="1:2">
      <c r="A277" s="2" t="s">
        <v>275</v>
      </c>
      <c r="B277" s="8">
        <v>24676</v>
      </c>
    </row>
    <row r="278" spans="1:2">
      <c r="A278" s="2" t="s">
        <v>276</v>
      </c>
      <c r="B278" s="8">
        <v>27207</v>
      </c>
    </row>
  </sheetData>
  <phoneticPr fontId="2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J A A B Q S w M E F A A C A A g A z m z + W n T f + 2 + k A A A A 9 w A A A B I A H A B D b 2 5 m a W c v U G F j a 2 F n Z S 5 4 b W w g o h g A K K A U A A A A A A A A A A A A A A A A A A A A A A A A A A A A h Y + x D o I w G I R f h X S n L Z X B k J 8 y u E p i Y m J Y m 1 K h E V p D i + X d H H w k X 0 G M o m 4 O N 9 z d N 9 z d r z c o p r 6 L L m p w 2 p o c J Z i i S B l p a 2 2 a H I 3 + G K 9 R w W E n 5 E k 0 K p p h 4 7 L J 1 T l q v T 9 n h I Q Q c F h h O z S E U Z q Q q t z u Z a t 6 g T 6 w / g / H 2 j g v j F S I w + E 1 h j O c p O k s y j A F s q R Q a v M l 2 D z 4 2 f 6 E s B k 7 P w 6 K K x e X F Z D F A n m f 4 A 9 Q S w M E F A A C A A g A z m z +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s / l p z k A H 4 v Q Y A A H J X A A A T A B w A R m 9 y b X V s Y X M v U 2 V j d G l v b j E u b S C i G A A o o B Q A A A A A A A A A A A A A A A A A A A A A A A A A A A D t n O t u 2 z Y U x 7 8 H y D s Q K g o k g G F U u f S y o h + 6 x A G y r X U W u 9 2 A u h A Y m W 2 I S q Q n 0 k Y C I Q 8 1 9 B H y Y q M t 2 5 I l H k l U Z A x K 1 C 9 N q C P y d y i e v 4 5 4 i S C u p J y h Q f S / / X Z 3 Z 3 d H X O O A j N F 7 V T T j w v l A P Y 8 z I t A 7 5 B G 5 u 4 P U v 3 5 A v x O m S n o 3 L v G 6 f / H g x x X n P / b O q E e 6 J 5 x J w q T Y s 0 5 + G X 0 S J B A j n w h B R 3 1 G T g M 6 I 6 O e c A M q e U D 5 i A h 3 S j w 8 G p B g R l 3 K 0 Y C 7 F H u j i 1 t 5 z d n o 4 u T 9 6 I w H c s r Q 8 Y s X o 7 P + 5 f D T x 5 7 z + e z I u c Z C Y j T 8 G 5 1 / H A y 7 3 R t P 3 F j 7 H c S m n t d B M p i S / U 4 E m 3 b E G V w T I h V 8 5 E X 4 5 V w S / 5 2 V N r M 6 v 1 M 2 f m c t r K 2 v d 1 9 O s c R f l 3 U + s 4 Z 0 w p G L / S u K x 9 x S t Q 3 x l X J + G G A m v v H A P + H e 1 G f D 2 w k R e 3 q C T h h a k Z V t K W J l i S S 5 k X c d t C o / W J W z q X 9 F g r u 7 / X X z p 3 R G x z R A 7 s I Q o w k P 0 J h 4 1 K d S 8 Q Q x 0 G D i U R l V t 5 e m 7 q A E w M J Q k i C 6 Y 6 h I f r 3 t Y f f 6 N K q V B H u h h S x F 9 + e U S z K Q t / N H L W a r v l 5 D 2 1 0 7 U X H 3 w E p Q b z R v F / R a s Z O J H u x C f T g n 6 K B z J l 8 e d e f 1 J j s x s s B C N c A Q 4 / 5 V Q D S P 9 J I w 7 J P I V q T 7 0 E 5 A z B v K D q M M i / X + / l + + W b z o s Z 4 / C Y j A V p J Q B Z T C E 9 M J U c G i r q J / p n P f s U g 8 4 B 9 0 s l f g S 8 f e 3 9 2 h r L j W p A C o O v F E l X s O d l 2 B Y o 8 a q w S b H n V j a Y s C 0 s p o A m B e o z Q U I T 1 I J G o Y 3 + n h n a T V j 3 F o K F d U r P x x H T d V h 4 A t 6 9 o I x 6 0 L W L L R z e c b E 1 Q R M N t I w Z J t L Q W q d h m y q + r Q O f u u r n L n u b O o i j t Y A T p Y i U t A m 6 x G e X 5 B k p T b F 3 X q U g m 4 N o P 5 v z O Y 8 o G Z j n n 7 o a 8 J u O m 0 U / H r o D A V W h T m D n H l f V J C c t m T K q I Y P K I K m / s d s / Y A + I B Z X 6 9 R B l J t l g v 4 W o f q x k i t q B k 5 Q / W J 6 0 f N X 0 D V 4 j 0 e u F W D e 6 k Y j 2 C y I u M J E O w Z u x q D H m A w f 9 v H V w 5 X V z C 7 T R Q f J Y t 1 w z K r E Z f E 5 7 O c r 5 V E z e u 2 H 5 b J x m L R K t E j V 6 J V 5 h F / 2 F Y U p A 9 T T 1 L 1 7 N x 5 3 6 g 0 Z v H R 3 F h R 0 n o D C J P W t k Z x y m F p l E A d x o F 5 1 A r U U x S o U n P B K Y H S R 1 d V l b o k Q t W n S q M v L L L M w x q r U 4 A / g F I B 1 j V q V S 5 P b W p V s y y 1 W v Q E t a h K s g T F T 2 U 1 6 v e a q z z 9 H q Q y / V 6 d i r J q 5 0 F T r + 1 U T B v T Q E y r 0 V o 5 f r n E L r 3 / y R w c r Y E 3 N 5 r T n k C x n b a r M 9 L 1 D G 3 c t 3 G / j b j P j O S q K v D M + i S p R 8 d 4 7 D x f V 9 Z Y J d B 5 A 6 3 M a v y u c z 0 W B G k l o Z W E L U i C Z j j X o g m Z N d 1 H o g 4 Z v 0 r o R L Y v t q Q Y E F y r H a 1 2 b F c 7 a t z C s T G i Z 0 o I 8 G P J L C J n S g j G 0 u s t q c Q G R i s N r T R s V x q W g 7 m q H K x r a v y m j 4 w n w H x D x q 5 G I Q A Y 2 j X V V p G e i i I 9 e N f H Z + z x w P F J M F + e d f y m y 5 L e H U C b 9 M Y 1 C l Q e T b u W 2 m p Q o z U I i J 7 K Q h Q l 8 o 3 f 0 J H y A 5 K e T a s 6 N U f X f v t h 1 E r A N i Q g N Y q r x v 4 F Z q S 5 W 0 3 b w / r t U b f 2 s H 7 C a b b Y Z D W 3 V J f Z Z m 0 f i Z B k / B u n R f I e J o 5 J r z 0 C z / d n j k K v 7 o B v m D P M I 7 D 7 B / k m + 1 M 1 A G M f B g S R m w l m Y 3 r / E 8 F / U i B y q b e w X P y 8 j g N t J + T R h L n H 1 L V 3 d Y E 7 8 h + F D T y L M i 4 D T 2 V 9 G A q 4 n j z m l 9 v t O t 4 D g F f v G z h u 8 s 8 g A 9 w F N 5 m 6 c m j g y g E E l T n p V A A v y o 5 5 H c W R A f E h R K z d A A 5 R A 2 c x j M m P D c i P I H J g u y j E D u 7 O N q Z / a U B / D N K n N 8 i A 3 N k 9 Y c b E r w y I X 8 J h q t u Q A l B r T U 2 x X x t g v y q F r V k f L 3 Z A d 5 O p K 2 8 M X H l d y p X V y l 0 x / 9 r S F N p + Y U D 9 B k L J T I c W I j 9 A E 2 3 o D Q r 4 B 7 D o p 0 8 g c G i q 0 p z e 6 H 0 K v l B T X 3 4 g d n q a w 5 z X 5 K V p g 2 / N y 3 4 P V L / 5 b v f y 2 W C c y x g n g P a h l U q G w u R B 8 o 1 f V R Z 7 B x A U / W k Z G A p w p D j T C Q v + w E W R R b E 3 o m R i X b 4 n g B Q o 1 J y Y 1 Z c C w P o M x R h 6 A w p M e 0 L o + B x 4 K a e r o f y k P D u E m Z P 6 h P C h m 5 y L e V 5 k s p X y / D C m N g k K d Z u M t c U 5 v P q 9 x W W B N V R Q k q T b / a g v L 0 e r 3 f V Y k l u L W J w m F W z C K m F S 7 F a 8 C 8 v c F x 0 1 k D F p N o 1 o i 8 s 8 i w r S q I P S p j + h b j F Z W 5 x D C q Q n F X C T o g g m P S G 4 + A R f y 6 N P Z S n l s U F C T e Y T Z q f L N Y V 5 w q c S F Q O 0 D M A y 0 w m j E 1 P L H x b t J S f t M 0 2 + / Q 9 Q S w E C L Q A U A A I A C A D O b P 5 a d N / 7 b 6 Q A A A D 3 A A A A E g A A A A A A A A A A A A A A A A A A A A A A Q 2 9 u Z m l n L 1 B h Y 2 t h Z 2 U u e G 1 s U E s B A i 0 A F A A C A A g A z m z + W g / K 6 a u k A A A A 6 Q A A A B M A A A A A A A A A A A A A A A A A 8 A A A A F t D b 2 5 0 Z W 5 0 X 1 R 5 c G V z X S 5 4 b W x Q S w E C L Q A U A A I A C A D O b P 5 a c 5 A B + L 0 G A A B y V w A A E w A A A A A A A A A A A A A A A A D h A Q A A R m 9 y b X V s Y X M v U 2 V j d G l v b j E u b V B L B Q Y A A A A A A w A D A M I A A A D r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2 Q A A A A A A A C D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Y 3 R p d m 9 z X 0 1 p b G x v b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Y w N j g w Z j M t O G E y N C 0 0 N T J k L W E 0 M z U t N z k 1 O W F h Z G M w Z W E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4 L j Y 0 M T A z N T B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Q W N 0 a X Z v c 1 9 N a W x s b 2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b 3 N f T W l s b G 9 u Z X M v Q X V 0 b 1 J l b W 9 2 Z W R D b 2 x 1 b W 5 z M S 5 7 R W 1 w c m V z Y S w w f S Z x d W 9 0 O y w m c X V v d D t T Z W N 0 a W 9 u M S 9 B Y 3 R p d m 9 z X 0 1 p b G x v b m V z L 0 F 1 d G 9 S Z W 1 v d m V k Q 2 9 s d W 1 u c z E u e 0 H D s W 8 s M X 0 m c X V v d D s s J n F 1 b 3 Q 7 U 2 V j d G l v b j E v Q W N 0 a X Z v c 1 9 N a W x s b 2 5 l c y 9 B d X R v U m V t b 3 Z l Z E N v b H V t b n M x L n t B Y 3 R p d m 9 z X 0 1 p b G x v b m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j d G l 2 b 3 N f T W l s b G 9 u Z X M v Q X V 0 b 1 J l b W 9 2 Z W R D b 2 x 1 b W 5 z M S 5 7 R W 1 w c m V z Y S w w f S Z x d W 9 0 O y w m c X V v d D t T Z W N 0 a W 9 u M S 9 B Y 3 R p d m 9 z X 0 1 p b G x v b m V z L 0 F 1 d G 9 S Z W 1 v d m V k Q 2 9 s d W 1 u c z E u e 0 H D s W 8 s M X 0 m c X V v d D s s J n F 1 b 3 Q 7 U 2 V j d G l v b j E v Q W N 0 a X Z v c 1 9 N a W x s b 2 5 l c y 9 B d X R v U m V t b 3 Z l Z E N v b H V t b n M x L n t B Y 3 R p d m 9 z X 0 1 p b G x v b m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9 z X 0 1 p b G x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Q W N 0 a X Z v c 1 9 N a W x s b 2 5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a X R h b F 9 h Y 2 N z J T I w X 0 1 p b G x v b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Q 3 Z W V m Y 2 U t Z j E 0 N y 0 0 M j R h L T g 0 Z W I t Y 2 R h O G F i N 2 Q 5 M T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4 L j c w M z U 5 M j N a I i A v P j x F b n R y e S B U e X B l P S J G a W x s Q 2 9 s d W 1 u V H l w Z X M i I F Z h b H V l P S J z Q m d N R i I g L z 4 8 R W 5 0 c n k g V H l w Z T 0 i R m l s b E N v b H V t b k 5 h b W V z I i B W Y W x 1 Z T 0 i c 1 s m c X V v d D t F b X B y Z X N h L j E m c X V v d D s s J n F 1 b 3 Q 7 Q c O x b y Z x d W 9 0 O y w m c X V v d D t D Y X B p d G F s X 2 F j Y 3 N f T W l s b G 9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p d G F s X 2 F j Y 3 M g X 0 1 p b G x v b m V z L 0 F 1 d G 9 S Z W 1 v d m V k Q 2 9 s d W 1 u c z E u e 0 V t c H J l c 2 E u M S w w f S Z x d W 9 0 O y w m c X V v d D t T Z W N 0 a W 9 u M S 9 D Y X B p d G F s X 2 F j Y 3 M g X 0 1 p b G x v b m V z L 0 F 1 d G 9 S Z W 1 v d m V k Q 2 9 s d W 1 u c z E u e 0 H D s W 8 s M X 0 m c X V v d D s s J n F 1 b 3 Q 7 U 2 V j d G l v b j E v Q 2 F w a X R h b F 9 h Y 2 N z I F 9 N a W x s b 2 5 l c y 9 B d X R v U m V t b 3 Z l Z E N v b H V t b n M x L n t D Y X B p d G F s X 2 F j Y 3 N f T W l s b G 9 u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w a X R h b F 9 h Y 2 N z I F 9 N a W x s b 2 5 l c y 9 B d X R v U m V t b 3 Z l Z E N v b H V t b n M x L n t F b X B y Z X N h L j E s M H 0 m c X V v d D s s J n F 1 b 3 Q 7 U 2 V j d G l v b j E v Q 2 F w a X R h b F 9 h Y 2 N z I F 9 N a W x s b 2 5 l c y 9 B d X R v U m V t b 3 Z l Z E N v b H V t b n M x L n t B w 7 F v L D F 9 J n F 1 b 3 Q 7 L C Z x d W 9 0 O 1 N l Y 3 R p b 2 4 x L 0 N h c G l 0 Y W x f Y W N j c y B f T W l s b G 9 u Z X M v Q X V 0 b 1 J l b W 9 2 Z W R D b 2 x 1 b W 5 z M S 5 7 Q 2 F w a X R h b F 9 h Y 2 N z X 0 1 p b G x v b m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p d G F s X 2 F j Y 3 M l M j B f T W l s b G 9 u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a X R h b F 9 h Y 2 N z J T I w X 0 1 p b G x v b m V z L 0 N h c G l 0 Y W x f Y W N j c y 5 f T W l s b G 9 u Z X M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p d G F s X 2 F j Y 3 M l M j B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1 8 l M j V f Y 2 F t Y m l v X 2 E l Q z M l Q j F v X 2 F u d G V y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N z R k M G M 0 L T R l Y 2 I t N G F h M S 0 4 Y 2 Q 4 L W E 3 N D c 5 Y m Y y N T E z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x O C 4 3 N D g 4 O D M w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0 l u Z 3 J l c 2 9 f J V 9 j Y W 1 i a W 9 f Y c O x b 1 9 h b n R l c m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d y Z X N v X y V f Y 2 F t Y m l v X 2 H D s W 9 f Y W 5 0 Z X J p L 0 F 1 d G 9 S Z W 1 v d m V k Q 2 9 s d W 1 u c z E u e 0 V t c H J l c 2 E s M H 0 m c X V v d D s s J n F 1 b 3 Q 7 U 2 V j d G l v b j E v S W 5 n c m V z b 1 8 l X 2 N h b W J p b 1 9 h w 7 F v X 2 F u d G V y a S 9 B d X R v U m V t b 3 Z l Z E N v b H V t b n M x L n t B w 7 F v L D F 9 J n F 1 b 3 Q 7 L C Z x d W 9 0 O 1 N l Y 3 R p b 2 4 x L 0 l u Z 3 J l c 2 9 f J V 9 j Y W 1 i a W 9 f Y c O x b 1 9 h b n R l c m k v Q X V 0 b 1 J l b W 9 2 Z W R D b 2 x 1 b W 5 z M S 5 7 S W 5 n c m V z b 1 8 l X 2 N h b W J p b 1 9 h w 7 F v X 2 F u d G V y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m d y Z X N v X y V f Y 2 F t Y m l v X 2 H D s W 9 f Y W 5 0 Z X J p L 0 F 1 d G 9 S Z W 1 v d m V k Q 2 9 s d W 1 u c z E u e 0 V t c H J l c 2 E s M H 0 m c X V v d D s s J n F 1 b 3 Q 7 U 2 V j d G l v b j E v S W 5 n c m V z b 1 8 l X 2 N h b W J p b 1 9 h w 7 F v X 2 F u d G V y a S 9 B d X R v U m V t b 3 Z l Z E N v b H V t b n M x L n t B w 7 F v L D F 9 J n F 1 b 3 Q 7 L C Z x d W 9 0 O 1 N l Y 3 R p b 2 4 x L 0 l u Z 3 J l c 2 9 f J V 9 j Y W 1 i a W 9 f Y c O x b 1 9 h b n R l c m k v Q X V 0 b 1 J l b W 9 2 Z W R D b 2 x 1 b W 5 z M S 5 7 S W 5 n c m V z b 1 8 l X 2 N h b W J p b 1 9 h w 7 F v X 2 F u d G V y a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n c m V z b 1 8 l M j V f Y 2 F t Y m l v X 2 E l Q z M l Q j F v X 2 F u d G V y a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0 l u Z 3 J l c 2 9 f J T I 1 X 2 N h b W J p b 1 9 h J U M z J U I x b 1 9 h b n R l c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M T A 0 N T F k L W V i M z I t N D E 1 Y y 0 5 Y T A w L W Y w Y z R l N 2 R i O D g z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x O C 4 5 M D g 5 N j Y 3 W i I g L z 4 8 R W 5 0 c n k g V H l w Z T 0 i R m l s b E N v b H V t b l R 5 c G V z I i B W Y W x 1 Z T 0 i c 0 J n T U Q i I C 8 + P E V u d H J 5 I F R 5 c G U 9 I k Z p b G x D b 2 x 1 b W 5 O Y W 1 l c y I g V m F s d W U 9 I n N b J n F 1 b 3 Q 7 R W 1 w c m V z Y S Z x d W 9 0 O y w m c X V v d D t B w 7 F v J n F 1 b 3 Q 7 L C Z x d W 9 0 O 0 V t c G x l Y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l Y W R v c y 9 B d X R v U m V t b 3 Z l Z E N v b H V t b n M x L n t F b X B y Z X N h L D B 9 J n F 1 b 3 Q 7 L C Z x d W 9 0 O 1 N l Y 3 R p b 2 4 x L 0 V t c G x l Y W R v c y 9 B d X R v U m V t b 3 Z l Z E N v b H V t b n M x L n t B w 7 F v L D F 9 J n F 1 b 3 Q 7 L C Z x d W 9 0 O 1 N l Y 3 R p b 2 4 x L 0 V t c G x l Y W R v c y 9 B d X R v U m V t b 3 Z l Z E N v b H V t b n M x L n t F b X B s Z W F k b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W 1 w b G V h Z G 9 z L 0 F 1 d G 9 S Z W 1 v d m V k Q 2 9 s d W 1 u c z E u e 0 V t c H J l c 2 E s M H 0 m c X V v d D s s J n F 1 b 3 Q 7 U 2 V j d G l v b j E v R W 1 w b G V h Z G 9 z L 0 F 1 d G 9 S Z W 1 v d m V k Q 2 9 s d W 1 u c z E u e 0 H D s W 8 s M X 0 m c X V v d D s s J n F 1 b 3 Q 7 U 2 V j d G l v b j E v R W 1 w b G V h Z G 9 z L 0 F 1 d G 9 S Z W 1 v d m V k Q 2 9 s d W 1 u c z E u e 0 V t c G x l Y W R v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V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y 9 F b X B s Z W F k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Z W F k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d l O D I x Z i 0 5 O W J h L T Q y Y T k t O G N i Y S 1 i M 2 V m Z D h m O T l m M z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T g u O T Q 0 M j I x O F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J b m d y Z X N v X 0 1 p b G x v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n c m V z b 3 N f T W l s b G 9 u Z X M v Q X V 0 b 1 J l b W 9 2 Z W R D b 2 x 1 b W 5 z M S 5 7 R W 1 w c m V z Y S w w f S Z x d W 9 0 O y w m c X V v d D t T Z W N 0 a W 9 u M S 9 J b m d y Z X N v c 1 9 N a W x s b 2 5 l c y 9 B d X R v U m V t b 3 Z l Z E N v b H V t b n M x L n t B w 7 F v L D F 9 J n F 1 b 3 Q 7 L C Z x d W 9 0 O 1 N l Y 3 R p b 2 4 x L 0 l u Z 3 J l c 2 9 z X 0 1 p b G x v b m V z L 0 F 1 d G 9 S Z W 1 v d m V k Q 2 9 s d W 1 u c z E u e 0 l u Z 3 J l c 2 9 f T W l s b G 9 u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W 5 n c m V z b 3 N f T W l s b G 9 u Z X M v Q X V 0 b 1 J l b W 9 2 Z W R D b 2 x 1 b W 5 z M S 5 7 R W 1 w c m V z Y S w w f S Z x d W 9 0 O y w m c X V v d D t T Z W N 0 a W 9 u M S 9 J b m d y Z X N v c 1 9 N a W x s b 2 5 l c y 9 B d X R v U m V t b 3 Z l Z E N v b H V t b n M x L n t B w 7 F v L D F 9 J n F 1 b 3 Q 7 L C Z x d W 9 0 O 1 N l Y 3 R p b 2 4 x L 0 l u Z 3 J l c 2 9 z X 0 1 p b G x v b m V z L 0 F 1 d G 9 S Z W 1 v d m V k Q 2 9 s d W 1 u c z E u e 0 l u Z 3 J l c 2 9 f T W l s b G 9 u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Z 3 J l c 2 9 z X 0 1 p b G x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3 J l c 2 9 z X 0 1 p b G x v b m V z L 0 l u Z 3 J l c 2 9 z X 0 1 p b G x v b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I 2 N D Y 5 N j M t M 2 U 1 M S 0 0 Z j c 5 L W E 3 N m I t M z l k N W U z M j g y Z T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4 L j k 2 M j Y w N z R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T X V s d G l w b G l j Y W R v c l 9 j Y X B p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V s d G l w b G l j Y W R v c l 9 j Y X B p d G F s L 0 F 1 d G 9 S Z W 1 v d m V k Q 2 9 s d W 1 u c z E u e 0 V t c H J l c 2 E s M H 0 m c X V v d D s s J n F 1 b 3 Q 7 U 2 V j d G l v b j E v T X V s d G l w b G l j Y W R v c l 9 j Y X B p d G F s L 0 F 1 d G 9 S Z W 1 v d m V k Q 2 9 s d W 1 u c z E u e 0 H D s W 8 s M X 0 m c X V v d D s s J n F 1 b 3 Q 7 U 2 V j d G l v b j E v T X V s d G l w b G l j Y W R v c l 9 j Y X B p d G F s L 0 F 1 d G 9 S Z W 1 v d m V k Q 2 9 s d W 1 u c z E u e 0 1 1 b H R p c G x p Y 2 F k b 3 J f Y 2 F w a X R h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d W x 0 a X B s a W N h Z G 9 y X 2 N h c G l 0 Y W w v Q X V 0 b 1 J l b W 9 2 Z W R D b 2 x 1 b W 5 z M S 5 7 R W 1 w c m V z Y S w w f S Z x d W 9 0 O y w m c X V v d D t T Z W N 0 a W 9 u M S 9 N d W x 0 a X B s a W N h Z G 9 y X 2 N h c G l 0 Y W w v Q X V 0 b 1 J l b W 9 2 Z W R D b 2 x 1 b W 5 z M S 5 7 Q c O x b y w x f S Z x d W 9 0 O y w m c X V v d D t T Z W N 0 a W 9 u M S 9 N d W x 0 a X B s a W N h Z G 9 y X 2 N h c G l 0 Y W w v Q X V 0 b 1 J l b W 9 2 Z W R D b 2 x 1 b W 5 z M S 5 7 T X V s d G l w b G l j Y W R v c l 9 j Y X B p d G F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d W x 0 a X B s a W N h Z G 9 y X 2 N h c G l 0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L 0 1 1 b H R p c G x p Y 2 F k b 3 J f Y 2 F w a X R h b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p Y 2 F k b 3 J f Y 2 F w a X R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z A 3 Z j U 4 Z S 0 1 N j F j L T R i Y 2 U t Y W I 0 M C 0 4 M W N i M j d h Y z J h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T g u O T g 0 O D E z M F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S Z X N 1 b H R h Z G 9 f Y c O x b 1 9 l b X B s Z W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G F k b 1 9 h w 7 F v X 2 V t c G x l Y W R v L 0 F 1 d G 9 S Z W 1 v d m V k Q 2 9 s d W 1 u c z E u e 0 V t c H J l c 2 E s M H 0 m c X V v d D s s J n F 1 b 3 Q 7 U 2 V j d G l v b j E v U m V z d W x 0 Y W R v X 2 H D s W 9 f Z W 1 w b G V h Z G 8 v Q X V 0 b 1 J l b W 9 2 Z W R D b 2 x 1 b W 5 z M S 5 7 Q c O x b y w x f S Z x d W 9 0 O y w m c X V v d D t T Z W N 0 a W 9 u M S 9 S Z X N 1 b H R h Z G 9 f Y c O x b 1 9 l b X B s Z W F k b y 9 B d X R v U m V t b 3 Z l Z E N v b H V t b n M x L n t S Z X N 1 b H R h Z G 9 f Y c O x b 1 9 l b X B s Z W F k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X N 1 b H R h Z G 9 f Y c O x b 1 9 l b X B s Z W F k b y 9 B d X R v U m V t b 3 Z l Z E N v b H V t b n M x L n t F b X B y Z X N h L D B 9 J n F 1 b 3 Q 7 L C Z x d W 9 0 O 1 N l Y 3 R p b 2 4 x L 1 J l c 3 V s d G F k b 1 9 h w 7 F v X 2 V t c G x l Y W R v L 0 F 1 d G 9 S Z W 1 v d m V k Q 2 9 s d W 1 u c z E u e 0 H D s W 8 s M X 0 m c X V v d D s s J n F 1 b 3 Q 7 U 2 V j d G l v b j E v U m V z d W x 0 Y W R v X 2 H D s W 9 f Z W 1 w b G V h Z G 8 v Q X V 0 b 1 J l b W 9 2 Z W R D b 2 x 1 b W 5 z M S 5 7 U m V z d W x 0 Y W R v X 2 H D s W 9 f Z W 1 w b G V h Z G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G F k b 1 9 h J U M z J U I x b 1 9 l b X B s Z W F k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v U m V z d W x 0 Y W R v X 2 E l Q z M l Q j F v X 2 V t c G x l Y W R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X 2 E l Q z M l Q j F v X 2 V t c G x l Y W R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Z G Q y Y m F i L T Z h O G I t N D h k N C 0 4 N j E w L W M 3 M 2 M 2 Y j c 0 M T I 3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x O S 4 w M j Y 0 M D Q x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1 J P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R S 9 B d X R v U m V t b 3 Z l Z E N v b H V t b n M x L n t F b X B y Z X N h L D B 9 J n F 1 b 3 Q 7 L C Z x d W 9 0 O 1 N l Y 3 R p b 2 4 x L 1 J P R S 9 B d X R v U m V t b 3 Z l Z E N v b H V t b n M x L n t B w 7 F v L D F 9 J n F 1 b 3 Q 7 L C Z x d W 9 0 O 1 N l Y 3 R p b 2 4 x L 1 J P R S 9 B d X R v U m V t b 3 Z l Z E N v b H V t b n M x L n t S T 0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k 9 F L 0 F 1 d G 9 S Z W 1 v d m V k Q 2 9 s d W 1 u c z E u e 0 V t c H J l c 2 E s M H 0 m c X V v d D s s J n F 1 b 3 Q 7 U 2 V j d G l v b j E v U k 9 F L 0 F 1 d G 9 S Z W 1 v d m V k Q 2 9 s d W 1 u c z E u e 0 H D s W 8 s M X 0 m c X V v d D s s J n F 1 b 3 Q 7 U 2 V j d G l v b j E v U k 9 F L 0 F 1 d G 9 S Z W 1 v d m V k Q 2 9 s d W 1 u c z E u e 1 J P R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9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S 9 S T 0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Y 2 k l Q z M l Q j N u X 2 F j d G l 2 b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G Z h Y j E 3 N i 0 z N T Q 4 L T R k Z D U t Y W R m N i 1 j Y T c 0 M T Q 4 Z G R i N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U t M D c t M z B U M T k 6 M z E 6 M T k u M T I 0 M z E 2 M V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S b 3 R h Y 2 n D s 2 5 f Y W N 0 a X Z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d G F j a c O z b l 9 h Y 3 R p d m 9 z L 0 F 1 d G 9 S Z W 1 v d m V k Q 2 9 s d W 1 u c z E u e 0 V t c H J l c 2 E s M H 0 m c X V v d D s s J n F 1 b 3 Q 7 U 2 V j d G l v b j E v U m 9 0 Y W N p w 7 N u X 2 F j d G l 2 b 3 M v Q X V 0 b 1 J l b W 9 2 Z W R D b 2 x 1 b W 5 z M S 5 7 Q c O x b y w x f S Z x d W 9 0 O y w m c X V v d D t T Z W N 0 a W 9 u M S 9 S b 3 R h Y 2 n D s 2 5 f Y W N 0 a X Z v c y 9 B d X R v U m V t b 3 Z l Z E N v b H V t b n M x L n t S b 3 R h Y 2 n D s 2 5 f Y W N 0 a X Z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3 R h Y 2 n D s 2 5 f Y W N 0 a X Z v c y 9 B d X R v U m V t b 3 Z l Z E N v b H V t b n M x L n t F b X B y Z X N h L D B 9 J n F 1 b 3 Q 7 L C Z x d W 9 0 O 1 N l Y 3 R p b 2 4 x L 1 J v d G F j a c O z b l 9 h Y 3 R p d m 9 z L 0 F 1 d G 9 S Z W 1 v d m V k Q 2 9 s d W 1 u c z E u e 0 H D s W 8 s M X 0 m c X V v d D s s J n F 1 b 3 Q 7 U 2 V j d G l v b j E v U m 9 0 Y W N p w 7 N u X 2 F j d G l 2 b 3 M v Q X V 0 b 1 J l b W 9 2 Z W R D b 2 x 1 b W 5 z M S 5 7 U m 9 0 Y W N p w 7 N u X 2 F j d G l 2 b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d G F j a S V D M y V C M 2 5 f Y W N 0 a X Z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Y 2 k l Q z M l Q j N u X 2 F j d G l 2 b 3 M v U m 9 0 Y W N p J U M z J U I z b l 9 h Y 3 R p d m 9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0 Y W N p J U M z J U I z b l 9 h Y 3 R p d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U y O T F m N z g t Y 2 Y w Y i 0 0 M j V m L T g z O D I t Z m U 4 Y z Z l Y z E y N D h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E 5 L j I 3 O D Y x M z B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V X R p b G l k Y W R f J V 9 h Y 3 R p d m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R p b G l k Y W R f J V 9 h Y 3 R p d m 9 z L 0 F 1 d G 9 S Z W 1 v d m V k Q 2 9 s d W 1 u c z E u e 0 V t c H J l c 2 E s M H 0 m c X V v d D s s J n F 1 b 3 Q 7 U 2 V j d G l v b j E v V X R p b G l k Y W R f J V 9 h Y 3 R p d m 9 z L 0 F 1 d G 9 S Z W 1 v d m V k Q 2 9 s d W 1 u c z E u e 0 H D s W 8 s M X 0 m c X V v d D s s J n F 1 b 3 Q 7 U 2 V j d G l v b j E v V X R p b G l k Y W R f J V 9 h Y 3 R p d m 9 z L 0 F 1 d G 9 S Z W 1 v d m V k Q 2 9 s d W 1 u c z E u e 1 V 0 a W x p Z G F k X y V f Y W N 0 a X Z v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G l s a W R h Z F 8 l X 2 F j d G l 2 b 3 M v Q X V 0 b 1 J l b W 9 2 Z W R D b 2 x 1 b W 5 z M S 5 7 R W 1 w c m V z Y S w w f S Z x d W 9 0 O y w m c X V v d D t T Z W N 0 a W 9 u M S 9 V d G l s a W R h Z F 8 l X 2 F j d G l 2 b 3 M v Q X V 0 b 1 J l b W 9 2 Z W R D b 2 x 1 b W 5 z M S 5 7 Q c O x b y w x f S Z x d W 9 0 O y w m c X V v d D t T Z W N 0 a W 9 u M S 9 V d G l s a W R h Z F 8 l X 2 F j d G l 2 b 3 M v Q X V 0 b 1 J l b W 9 2 Z W R D b 2 x 1 b W 5 z M S 5 7 V X R p b G l k Y W R f J V 9 h Y 3 R p d m 9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G l s a W R h Z F 8 l M j V f Y W N 0 a X Z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Y W N 0 a X Z v c y 9 V d G l s a W R h Z F 8 l M j V f Y W N 0 a X Z v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2 R j Z G Z h O S 0 z M D U y L T Q 0 Y 2 U t O G I 3 M i 0 0 Z G U 1 M T c 4 N G Q y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j A u M z g 1 M D A 3 M 1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V d G l s a W R h Z F 8 l X 2 N h b W J p b 1 9 h w 7 F v X 2 F u d G V y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0 a W x p Z G F k X y V f Y 2 F t Y m l v X 2 H D s W 9 f Y W 5 0 Z X I v Q X V 0 b 1 J l b W 9 2 Z W R D b 2 x 1 b W 5 z M S 5 7 R W 1 w c m V z Y S w w f S Z x d W 9 0 O y w m c X V v d D t T Z W N 0 a W 9 u M S 9 V d G l s a W R h Z F 8 l X 2 N h b W J p b 1 9 h w 7 F v X 2 F u d G V y L 0 F 1 d G 9 S Z W 1 v d m V k Q 2 9 s d W 1 u c z E u e 0 H D s W 8 s M X 0 m c X V v d D s s J n F 1 b 3 Q 7 U 2 V j d G l v b j E v V X R p b G l k Y W R f J V 9 j Y W 1 i a W 9 f Y c O x b 1 9 h b n R l c i 9 B d X R v U m V t b 3 Z l Z E N v b H V t b n M x L n t V d G l s a W R h Z F 8 l X 2 N h b W J p b 1 9 h w 7 F v X 2 F u d G V y a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G l s a W R h Z F 8 l X 2 N h b W J p b 1 9 h w 7 F v X 2 F u d G V y L 0 F 1 d G 9 S Z W 1 v d m V k Q 2 9 s d W 1 u c z E u e 0 V t c H J l c 2 E s M H 0 m c X V v d D s s J n F 1 b 3 Q 7 U 2 V j d G l v b j E v V X R p b G l k Y W R f J V 9 j Y W 1 i a W 9 f Y c O x b 1 9 h b n R l c i 9 B d X R v U m V t b 3 Z l Z E N v b H V t b n M x L n t B w 7 F v L D F 9 J n F 1 b 3 Q 7 L C Z x d W 9 0 O 1 N l Y 3 R p b 2 4 x L 1 V 0 a W x p Z G F k X y V f Y 2 F t Y m l v X 2 H D s W 9 f Y W 5 0 Z X I v Q X V 0 b 1 J l b W 9 2 Z W R D b 2 x 1 b W 5 z M S 5 7 V X R p b G l k Y W R f J V 9 j Y W 1 i a W 9 f Y c O x b 1 9 h b n R l c m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N h b W J p b 1 9 h J U M z J U I x b 1 9 h b n R l c i 9 V d G l s a W R h Z F 8 l M j V f Y 2 F t Y m l v X 2 E l Q z M l Q j F v X 2 F u d G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N h b W J p b 1 9 h J U M z J U I x b 1 9 h b n R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0 M D h m N W E t O W E 2 Z S 0 0 O T E 5 L W F k N G I t Z j Z h N z h m O D B l M D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E 5 O j M x O j I w L j Q x M T M 4 N j F a I i A v P j x F b n R y e S B U e X B l P S J G a W x s Q 2 9 s d W 1 u V H l w Z X M i I F Z h b H V l P S J z Q m d N R i I g L z 4 8 R W 5 0 c n k g V H l w Z T 0 i R m l s b E N v b H V t b k 5 h b W V z I i B W Y W x 1 Z T 0 i c 1 s m c X V v d D t F b X B y Z X N h J n F 1 b 3 Q 7 L C Z x d W 9 0 O 0 H D s W 8 m c X V v d D s s J n F 1 b 3 Q 7 V X R p b G l k Y W R f J V 9 2 Z W 5 0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G l s a W R h Z F 8 l X 3 Z l b n R h c y 9 B d X R v U m V t b 3 Z l Z E N v b H V t b n M x L n t F b X B y Z X N h L D B 9 J n F 1 b 3 Q 7 L C Z x d W 9 0 O 1 N l Y 3 R p b 2 4 x L 1 V 0 a W x p Z G F k X y V f d m V u d G F z L 0 F 1 d G 9 S Z W 1 v d m V k Q 2 9 s d W 1 u c z E u e 0 H D s W 8 s M X 0 m c X V v d D s s J n F 1 b 3 Q 7 U 2 V j d G l v b j E v V X R p b G l k Y W R f J V 9 2 Z W 5 0 Y X M v Q X V 0 b 1 J l b W 9 2 Z W R D b 2 x 1 b W 5 z M S 5 7 V X R p b G l k Y W R f J V 9 2 Z W 5 0 Y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X R p b G l k Y W R f J V 9 2 Z W 5 0 Y X M v Q X V 0 b 1 J l b W 9 2 Z W R D b 2 x 1 b W 5 z M S 5 7 R W 1 w c m V z Y S w w f S Z x d W 9 0 O y w m c X V v d D t T Z W N 0 a W 9 u M S 9 V d G l s a W R h Z F 8 l X 3 Z l b n R h c y 9 B d X R v U m V t b 3 Z l Z E N v b H V t b n M x L n t B w 7 F v L D F 9 J n F 1 b 3 Q 7 L C Z x d W 9 0 O 1 N l Y 3 R p b 2 4 x L 1 V 0 a W x p Z G F k X y V f d m V u d G F z L 0 F 1 d G 9 S Z W 1 v d m V k Q 2 9 s d W 1 u c z E u e 1 V 0 a W x p Z G F k X y V f d m V u d G F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G l s a W R h Z F 8 l M j V f d m V u d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2 Z W 5 0 Y X M v V X R p b G l k Y W R f J T I 1 X 3 Z l b n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2 Z W 5 0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W J m Z m F h N y 0 1 Y j k w L T Q y Z j E t Y j Y x Z S 0 0 Y j k w O D F m N z E y O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T k 6 M z E 6 M j A u N D U y M j c 1 N 1 o i I C 8 + P E V u d H J 5 I F R 5 c G U 9 I k Z p b G x D b 2 x 1 b W 5 U e X B l c y I g V m F s d W U 9 I n N C Z 0 1 G I i A v P j x F b n R y e S B U e X B l P S J G a W x s Q 2 9 s d W 1 u T m F t Z X M i I F Z h b H V l P S J z W y Z x d W 9 0 O 0 V t c H J l c 2 E m c X V v d D s s J n F 1 b 3 Q 7 Q c O x b y Z x d W 9 0 O y w m c X V v d D t V d G l s a W R h Z F 9 N a W x s b 2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0 a W x p Z G F k X 0 1 p b G x v b m V z L 0 F 1 d G 9 S Z W 1 v d m V k Q 2 9 s d W 1 u c z E u e 0 V t c H J l c 2 E s M H 0 m c X V v d D s s J n F 1 b 3 Q 7 U 2 V j d G l v b j E v V X R p b G l k Y W R f T W l s b G 9 u Z X M v Q X V 0 b 1 J l b W 9 2 Z W R D b 2 x 1 b W 5 z M S 5 7 Q c O x b y w x f S Z x d W 9 0 O y w m c X V v d D t T Z W N 0 a W 9 u M S 9 V d G l s a W R h Z F 9 N a W x s b 2 5 l c y 9 B d X R v U m V t b 3 Z l Z E N v b H V t b n M x L n t V d G l s a W R h Z F 9 N a W x s b 2 5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G l s a W R h Z F 9 N a W x s b 2 5 l c y 9 B d X R v U m V t b 3 Z l Z E N v b H V t b n M x L n t F b X B y Z X N h L D B 9 J n F 1 b 3 Q 7 L C Z x d W 9 0 O 1 N l Y 3 R p b 2 4 x L 1 V 0 a W x p Z G F k X 0 1 p b G x v b m V z L 0 F 1 d G 9 S Z W 1 v d m V k Q 2 9 s d W 1 u c z E u e 0 H D s W 8 s M X 0 m c X V v d D s s J n F 1 b 3 Q 7 U 2 V j d G l v b j E v V X R p b G l k Y W R f T W l s b G 9 u Z X M v Q X V 0 b 1 J l b W 9 2 Z W R D b 2 x 1 b W 5 z M S 5 7 V X R p b G l k Y W R f T W l s b G 9 u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0 a W x p Z G F k X 0 1 p b G x v b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0 1 p b G x v b m V z L 1 V 0 a W x p Z G F k X 0 1 p b G x v b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Y 2 Z m O G I z L T I y O G U t N D g 1 Y y 1 h M j M 1 L T I 3 O W Z j N m Y 3 N G I 2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x O T o z M T o y M C 4 0 O T g y N j U y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1 Z h b G 9 y X 2 1 l c m N h Z G 9 f b W l s b G 9 u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x v c l 9 t Z X J j Y W R v X 2 1 p b G x v b m V z L 0 F 1 d G 9 S Z W 1 v d m V k Q 2 9 s d W 1 u c z E u e 0 V t c H J l c 2 E s M H 0 m c X V v d D s s J n F 1 b 3 Q 7 U 2 V j d G l v b j E v V m F s b 3 J f b W V y Y 2 F k b 1 9 t a W x s b 2 5 l c y 9 B d X R v U m V t b 3 Z l Z E N v b H V t b n M x L n t B w 7 F v L D F 9 J n F 1 b 3 Q 7 L C Z x d W 9 0 O 1 N l Y 3 R p b 2 4 x L 1 Z h b G 9 y X 2 1 l c m N h Z G 9 f b W l s b G 9 u Z X M v Q X V 0 b 1 J l b W 9 2 Z W R D b 2 x 1 b W 5 z M S 5 7 V m F s b 3 J f b W V y Y 2 F k b 1 9 t a W x s b 2 5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Y W x v c l 9 t Z X J j Y W R v X 2 1 p b G x v b m V z L 0 F 1 d G 9 S Z W 1 v d m V k Q 2 9 s d W 1 u c z E u e 0 V t c H J l c 2 E s M H 0 m c X V v d D s s J n F 1 b 3 Q 7 U 2 V j d G l v b j E v V m F s b 3 J f b W V y Y 2 F k b 1 9 t a W x s b 2 5 l c y 9 B d X R v U m V t b 3 Z l Z E N v b H V t b n M x L n t B w 7 F v L D F 9 J n F 1 b 3 Q 7 L C Z x d W 9 0 O 1 N l Y 3 R p b 2 4 x L 1 Z h b G 9 y X 2 1 l c m N h Z G 9 f b W l s b G 9 u Z X M v Q X V 0 b 1 J l b W 9 2 Z W R D b 2 x 1 b W 5 z M S 5 7 V m F s b 3 J f b W V y Y 2 F k b 1 9 t a W x s b 2 5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s b 3 J f b W V y Y 2 F k b 1 9 t a W x s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1 Z h b G 9 y X 2 1 l c m N h Z G 9 f b W l s b G 9 u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9 l b X B s Z W F k b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x N j k 3 N D M z L W Y 4 M D U t N G E 0 Z S 1 i M D U 3 L T V i M j I 4 N D F h O T k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N y 0 z M F Q x O T o z M T o y M C 4 2 O T k 3 O D Q 4 W i I g L z 4 8 R W 5 0 c n k g V H l w Z T 0 i R m l s b E N v b H V t b l R 5 c G V z I i B W Y W x 1 Z T 0 i c 0 J n T U Y i I C 8 + P E V u d H J 5 I F R 5 c G U 9 I k Z p b G x D b 2 x 1 b W 5 O Y W 1 l c y I g V m F s d W U 9 I n N b J n F 1 b 3 Q 7 R W 1 w c m V z Y S Z x d W 9 0 O y w m c X V v d D t B w 7 F v J n F 1 b 3 Q 7 L C Z x d W 9 0 O 1 Z l b n R h c 1 9 l b X B s Z W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n R h c 1 9 l b X B s Z W F k b y 9 B d X R v U m V t b 3 Z l Z E N v b H V t b n M x L n t F b X B y Z X N h L D B 9 J n F 1 b 3 Q 7 L C Z x d W 9 0 O 1 N l Y 3 R p b 2 4 x L 1 Z l b n R h c 1 9 l b X B s Z W F k b y 9 B d X R v U m V t b 3 Z l Z E N v b H V t b n M x L n t B w 7 F v L D F 9 J n F 1 b 3 Q 7 L C Z x d W 9 0 O 1 N l Y 3 R p b 2 4 x L 1 Z l b n R h c 1 9 l b X B s Z W F k b y 9 B d X R v U m V t b 3 Z l Z E N v b H V t b n M x L n t W Z W 5 0 Y X N f Z W 1 w b G V h Z G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m V u d G F z X 2 V t c G x l Y W R v L 0 F 1 d G 9 S Z W 1 v d m V k Q 2 9 s d W 1 u c z E u e 0 V t c H J l c 2 E s M H 0 m c X V v d D s s J n F 1 b 3 Q 7 U 2 V j d G l v b j E v V m V u d G F z X 2 V t c G x l Y W R v L 0 F 1 d G 9 S Z W 1 v d m V k Q 2 9 s d W 1 u c z E u e 0 H D s W 8 s M X 0 m c X V v d D s s J n F 1 b 3 Q 7 U 2 V j d G l v b j E v V m V u d G F z X 2 V t c G x l Y W R v L 0 F 1 d G 9 S Z W 1 v d m V k Q 2 9 s d W 1 u c z E u e 1 Z l b n R h c 1 9 l b X B s Z W F k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u d G F z X 2 V t c G x l Y W R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9 l b X B s Z W F k b y 9 W Z W 5 0 Y X N f Z W 1 w b G V h Z G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f Z W 1 w b G V h Z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F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l 0 Y W x f Y W N j c y U y M F 9 N a W x s b 2 5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a X R h b F 9 h Y 2 N z J T I w X 0 1 p b G x v b m V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p d G F s X 2 F j Y 3 M l M j B f T W l s b G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l 0 Y W x f Y W N j c y U y M F 9 N a W x s b 2 5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b 3 N f T W l s b G 9 u Z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p d G F s X 2 F j Y 3 M l M j B f T W l s b G 9 u Z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X y U y N V 9 j Y W 1 i a W 9 f Y S V D M y V C M W 9 f Y W 5 0 Z X J p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1 8 l M j V f Y 2 F t Y m l v X 2 E l Q z M l Q j F v X 2 F u d G V y a S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V h Z G 9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V h Z G 9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Z W F k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l Y W R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3 J l c 2 9 z X 0 1 p b G x v b m V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c m V z b 3 N f T W l s b G 9 u Z X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3 J l c 2 9 z X 0 1 p b G x v b m V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d y Z X N v c 1 9 N a W x s b 2 5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a W N h Z G 9 y X 2 N h c G l 0 Y W w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W x 0 a X B s a W N h Z G 9 y X 2 N h c G l 0 Y W w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1 b H R p c G x p Y 2 F k b 3 J f Y 2 F w a X R h b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s d G l w b G l j Y W R v c l 9 j Y X B p d G F s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9 h J U M z J U I x b 1 9 l b X B s Z W F k b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1 9 h J U M z J U I x b 1 9 l b X B s Z W F k b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X 2 E l Q z M l Q j F v X 2 V t c G x l Y W R v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f Y S V D M y V C M W 9 f Z W 1 w b G V h Z G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S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R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F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G F j a S V D M y V C M 2 5 f Y W N 0 a X Z v c y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G F j a S V D M y V C M 2 5 f Y W N 0 a X Z v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0 Y W N p J U M z J U I z b l 9 h Y 3 R p d m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R h Y 2 k l Q z M l Q j N u X 2 F j d G l 2 b 3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F j d G l 2 b 3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h Y 3 R p d m 9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Y W N 0 a X Z v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J T I 1 X 2 N h b W J p b 1 9 h J U M z J U I x b 1 9 h b n R l c i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j Y W 1 i a W 9 f Y S V D M y V C M W 9 f Y W 5 0 Z X I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y U y N V 9 2 Z W 5 0 Y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8 l M j V f d m V u d G F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9 N a W x s b 2 5 l c y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l s a W R h Z F 9 N a W x s b 2 5 l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R p b G l k Y W R f T W l s b G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0 a W x p Z G F k X 0 1 p b G x v b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x v c l 9 t Z X J j Y W R v X 2 1 p b G x v b m V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y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s b 3 J f b W V y Y 2 F k b 1 9 t a W x s b 2 5 l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X 2 V t c G x l Y W R v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d G F z X 2 V t c G x l Y W R v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0 Y X N f Z W 1 w b G V h Z G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n R h c 1 9 l b X B s Z W F k b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j g x O D g y Y i 0 0 N T c 2 L T Q z Z W E t O G M 0 M i 1 m M G Z l Y j Y 4 Y W U 1 O D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V t c H J l c 2 E m c X V v d D s s J n F 1 b 3 Q 7 Q c O x b y Z x d W 9 0 O y w m c X V v d D t B Y 3 R p d m 9 z X 0 1 p b G x v b m V z J n F 1 b 3 Q 7 L C Z x d W 9 0 O 0 N h c G l 0 Y W x f Y W N j c y B f T W l s b G 9 u Z X M u Q 2 F w a X R h b F 9 h Y 2 N z X 0 1 p b G x v b m V z J n F 1 b 3 Q 7 L C Z x d W 9 0 O 0 V t c G x l Y W R v c y 4 x J n F 1 b 3 Q 7 L C Z x d W 9 0 O 0 l u Z 3 J l c 2 9 f J V 9 j Y W 1 i a W 9 f Y c O x b 1 9 h b n R l c m k u M S Z x d W 9 0 O y w m c X V v d D t J b m d y Z X N v X 0 1 p b G x v b m V z J n F 1 b 3 Q 7 L C Z x d W 9 0 O 0 1 1 b H R p c G x p Y 2 F k b 3 J f Y 2 F w a X R h b C 4 x J n F 1 b 3 Q 7 L C Z x d W 9 0 O 1 J l c 3 V s d G F k b 1 9 h w 7 F v X 2 V t c G x l Y W R v L j E m c X V v d D s s J n F 1 b 3 Q 7 U m 9 0 Y W N p w 7 N u X 2 F j d G l 2 b 3 M u M S Z x d W 9 0 O y w m c X V v d D t V d G l s a W R h Z F 8 l X 2 F j d G l 2 b 3 M u M S Z x d W 9 0 O y w m c X V v d D t V d G l s a W R h Z F 8 l X 2 N h b W J p b 1 9 h w 7 F v X 2 F u d G V y a S Z x d W 9 0 O y w m c X V v d D t V d G l s a W R h Z F 8 l X 3 Z l b n R h c y 4 x J n F 1 b 3 Q 7 L C Z x d W 9 0 O 1 V 0 a W x p Z G F k X 0 1 p b G x v b m V z L j E m c X V v d D s s J n F 1 b 3 Q 7 V m F s b 3 J f b W V y Y 2 F k b 1 9 t a W x s b 2 5 l c y 4 x J n F 1 b 3 Q 7 L C Z x d W 9 0 O 1 Z l b n R h c 1 9 l b X B s Z W F k b y 4 x J n F 1 b 3 Q 7 L C Z x d W 9 0 O 1 J P R S 4 x J n F 1 b 3 Q 7 X S I g L z 4 8 R W 5 0 c n k g V H l w Z T 0 i R m l s b E N v b H V t b l R 5 c G V z I i B W Y W x 1 Z T 0 i c 0 J n T U Z C U U 1 G Q l F V R k J R V U Z C U V V G Q l F V P S I g L z 4 8 R W 5 0 c n k g V H l w Z T 0 i R m l s b E x h c 3 R V c G R h d G V k I i B W Y W x 1 Z T 0 i Z D I w M j U t M D c t M z B U M T k 6 M z E 6 M j A u N z M 5 M z k z M V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I 3 N y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m V s L 0 F 1 d G 9 S Z W 1 v d m V k Q 2 9 s d W 1 u c z E u e 0 V t c H J l c 2 E s M H 0 m c X V v d D s s J n F 1 b 3 Q 7 U 2 V j d G l v b j E v U G F u Z W w v Q X V 0 b 1 J l b W 9 2 Z W R D b 2 x 1 b W 5 z M S 5 7 Q c O x b y w x f S Z x d W 9 0 O y w m c X V v d D t T Z W N 0 a W 9 u M S 9 Q Y W 5 l b C 9 B d X R v U m V t b 3 Z l Z E N v b H V t b n M x L n t B Y 3 R p d m 9 z X 0 1 p b G x v b m V z L D J 9 J n F 1 b 3 Q 7 L C Z x d W 9 0 O 1 N l Y 3 R p b 2 4 x L 1 B h b m V s L 0 F 1 d G 9 S Z W 1 v d m V k Q 2 9 s d W 1 u c z E u e 0 N h c G l 0 Y W x f Y W N j c y B f T W l s b G 9 u Z X M u Q 2 F w a X R h b F 9 h Y 2 N z X 0 1 p b G x v b m V z L D N 9 J n F 1 b 3 Q 7 L C Z x d W 9 0 O 1 N l Y 3 R p b 2 4 x L 1 B h b m V s L 0 F 1 d G 9 S Z W 1 v d m V k Q 2 9 s d W 1 u c z E u e 0 V t c G x l Y W R v c y 4 x L D R 9 J n F 1 b 3 Q 7 L C Z x d W 9 0 O 1 N l Y 3 R p b 2 4 x L 1 B h b m V s L 0 F 1 d G 9 S Z W 1 v d m V k Q 2 9 s d W 1 u c z E u e 0 l u Z 3 J l c 2 9 f J V 9 j Y W 1 i a W 9 f Y c O x b 1 9 h b n R l c m k u M S w 1 f S Z x d W 9 0 O y w m c X V v d D t T Z W N 0 a W 9 u M S 9 Q Y W 5 l b C 9 B d X R v U m V t b 3 Z l Z E N v b H V t b n M x L n t J b m d y Z X N v X 0 1 p b G x v b m V z L D Z 9 J n F 1 b 3 Q 7 L C Z x d W 9 0 O 1 N l Y 3 R p b 2 4 x L 1 B h b m V s L 0 F 1 d G 9 S Z W 1 v d m V k Q 2 9 s d W 1 u c z E u e 0 1 1 b H R p c G x p Y 2 F k b 3 J f Y 2 F w a X R h b C 4 x L D d 9 J n F 1 b 3 Q 7 L C Z x d W 9 0 O 1 N l Y 3 R p b 2 4 x L 1 B h b m V s L 0 F 1 d G 9 S Z W 1 v d m V k Q 2 9 s d W 1 u c z E u e 1 J l c 3 V s d G F k b 1 9 h w 7 F v X 2 V t c G x l Y W R v L j E s O H 0 m c X V v d D s s J n F 1 b 3 Q 7 U 2 V j d G l v b j E v U G F u Z W w v Q X V 0 b 1 J l b W 9 2 Z W R D b 2 x 1 b W 5 z M S 5 7 U m 9 0 Y W N p w 7 N u X 2 F j d G l 2 b 3 M u M S w 5 f S Z x d W 9 0 O y w m c X V v d D t T Z W N 0 a W 9 u M S 9 Q Y W 5 l b C 9 B d X R v U m V t b 3 Z l Z E N v b H V t b n M x L n t V d G l s a W R h Z F 8 l X 2 F j d G l 2 b 3 M u M S w x M H 0 m c X V v d D s s J n F 1 b 3 Q 7 U 2 V j d G l v b j E v U G F u Z W w v Q X V 0 b 1 J l b W 9 2 Z W R D b 2 x 1 b W 5 z M S 5 7 V X R p b G l k Y W R f J V 9 j Y W 1 i a W 9 f Y c O x b 1 9 h b n R l c m k s M T F 9 J n F 1 b 3 Q 7 L C Z x d W 9 0 O 1 N l Y 3 R p b 2 4 x L 1 B h b m V s L 0 F 1 d G 9 S Z W 1 v d m V k Q 2 9 s d W 1 u c z E u e 1 V 0 a W x p Z G F k X y V f d m V u d G F z L j E s M T J 9 J n F 1 b 3 Q 7 L C Z x d W 9 0 O 1 N l Y 3 R p b 2 4 x L 1 B h b m V s L 0 F 1 d G 9 S Z W 1 v d m V k Q 2 9 s d W 1 u c z E u e 1 V 0 a W x p Z G F k X 0 1 p b G x v b m V z L j E s M T N 9 J n F 1 b 3 Q 7 L C Z x d W 9 0 O 1 N l Y 3 R p b 2 4 x L 1 B h b m V s L 0 F 1 d G 9 S Z W 1 v d m V k Q 2 9 s d W 1 u c z E u e 1 Z h b G 9 y X 2 1 l c m N h Z G 9 f b W l s b G 9 u Z X M u M S w x N H 0 m c X V v d D s s J n F 1 b 3 Q 7 U 2 V j d G l v b j E v U G F u Z W w v Q X V 0 b 1 J l b W 9 2 Z W R D b 2 x 1 b W 5 z M S 5 7 V m V u d G F z X 2 V t c G x l Y W R v L j E s M T V 9 J n F 1 b 3 Q 7 L C Z x d W 9 0 O 1 N l Y 3 R p b 2 4 x L 1 B h b m V s L 0 F 1 d G 9 S Z W 1 v d m V k Q 2 9 s d W 1 u c z E u e 1 J P R S 4 x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G F u Z W w v Q X V 0 b 1 J l b W 9 2 Z W R D b 2 x 1 b W 5 z M S 5 7 R W 1 w c m V z Y S w w f S Z x d W 9 0 O y w m c X V v d D t T Z W N 0 a W 9 u M S 9 Q Y W 5 l b C 9 B d X R v U m V t b 3 Z l Z E N v b H V t b n M x L n t B w 7 F v L D F 9 J n F 1 b 3 Q 7 L C Z x d W 9 0 O 1 N l Y 3 R p b 2 4 x L 1 B h b m V s L 0 F 1 d G 9 S Z W 1 v d m V k Q 2 9 s d W 1 u c z E u e 0 F j d G l 2 b 3 N f T W l s b G 9 u Z X M s M n 0 m c X V v d D s s J n F 1 b 3 Q 7 U 2 V j d G l v b j E v U G F u Z W w v Q X V 0 b 1 J l b W 9 2 Z W R D b 2 x 1 b W 5 z M S 5 7 Q 2 F w a X R h b F 9 h Y 2 N z I F 9 N a W x s b 2 5 l c y 5 D Y X B p d G F s X 2 F j Y 3 N f T W l s b G 9 u Z X M s M 3 0 m c X V v d D s s J n F 1 b 3 Q 7 U 2 V j d G l v b j E v U G F u Z W w v Q X V 0 b 1 J l b W 9 2 Z W R D b 2 x 1 b W 5 z M S 5 7 R W 1 w b G V h Z G 9 z L j E s N H 0 m c X V v d D s s J n F 1 b 3 Q 7 U 2 V j d G l v b j E v U G F u Z W w v Q X V 0 b 1 J l b W 9 2 Z W R D b 2 x 1 b W 5 z M S 5 7 S W 5 n c m V z b 1 8 l X 2 N h b W J p b 1 9 h w 7 F v X 2 F u d G V y a S 4 x L D V 9 J n F 1 b 3 Q 7 L C Z x d W 9 0 O 1 N l Y 3 R p b 2 4 x L 1 B h b m V s L 0 F 1 d G 9 S Z W 1 v d m V k Q 2 9 s d W 1 u c z E u e 0 l u Z 3 J l c 2 9 f T W l s b G 9 u Z X M s N n 0 m c X V v d D s s J n F 1 b 3 Q 7 U 2 V j d G l v b j E v U G F u Z W w v Q X V 0 b 1 J l b W 9 2 Z W R D b 2 x 1 b W 5 z M S 5 7 T X V s d G l w b G l j Y W R v c l 9 j Y X B p d G F s L j E s N 3 0 m c X V v d D s s J n F 1 b 3 Q 7 U 2 V j d G l v b j E v U G F u Z W w v Q X V 0 b 1 J l b W 9 2 Z W R D b 2 x 1 b W 5 z M S 5 7 U m V z d W x 0 Y W R v X 2 H D s W 9 f Z W 1 w b G V h Z G 8 u M S w 4 f S Z x d W 9 0 O y w m c X V v d D t T Z W N 0 a W 9 u M S 9 Q Y W 5 l b C 9 B d X R v U m V t b 3 Z l Z E N v b H V t b n M x L n t S b 3 R h Y 2 n D s 2 5 f Y W N 0 a X Z v c y 4 x L D l 9 J n F 1 b 3 Q 7 L C Z x d W 9 0 O 1 N l Y 3 R p b 2 4 x L 1 B h b m V s L 0 F 1 d G 9 S Z W 1 v d m V k Q 2 9 s d W 1 u c z E u e 1 V 0 a W x p Z G F k X y V f Y W N 0 a X Z v c y 4 x L D E w f S Z x d W 9 0 O y w m c X V v d D t T Z W N 0 a W 9 u M S 9 Q Y W 5 l b C 9 B d X R v U m V t b 3 Z l Z E N v b H V t b n M x L n t V d G l s a W R h Z F 8 l X 2 N h b W J p b 1 9 h w 7 F v X 2 F u d G V y a S w x M X 0 m c X V v d D s s J n F 1 b 3 Q 7 U 2 V j d G l v b j E v U G F u Z W w v Q X V 0 b 1 J l b W 9 2 Z W R D b 2 x 1 b W 5 z M S 5 7 V X R p b G l k Y W R f J V 9 2 Z W 5 0 Y X M u M S w x M n 0 m c X V v d D s s J n F 1 b 3 Q 7 U 2 V j d G l v b j E v U G F u Z W w v Q X V 0 b 1 J l b W 9 2 Z W R D b 2 x 1 b W 5 z M S 5 7 V X R p b G l k Y W R f T W l s b G 9 u Z X M u M S w x M 3 0 m c X V v d D s s J n F 1 b 3 Q 7 U 2 V j d G l v b j E v U G F u Z W w v Q X V 0 b 1 J l b W 9 2 Z W R D b 2 x 1 b W 5 z M S 5 7 V m F s b 3 J f b W V y Y 2 F k b 1 9 t a W x s b 2 5 l c y 4 x L D E 0 f S Z x d W 9 0 O y w m c X V v d D t T Z W N 0 a W 9 u M S 9 Q Y W 5 l b C 9 B d X R v U m V t b 3 Z l Z E N v b H V t b n M x L n t W Z W 5 0 Y X N f Z W 1 w b G V h Z G 8 u M S w x N X 0 m c X V v d D s s J n F 1 b 3 Q 7 U 2 V j d G l v b j E v U G F u Z W w v Q X V 0 b 1 J l b W 9 2 Z W R D b 2 x 1 b W 5 z M S 5 7 U k 9 F L j E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5 l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B Y 3 R p d m 9 z X 0 1 p b G x v b m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Q 2 F w a X R h b F 9 h Y 2 N z J T I w X 0 1 p b G x v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0 N v b n N 1 b H R h c y U y M G N v b W J p b m F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0 N v b n N 1 b H R h c y U y M G N v b W J p b m F k Y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D b 2 5 z d W x 0 Y X M l M j B j b 2 1 i a W 5 h Z G F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0 N v b n N 1 b H R h c y U y M G N v b W J p b m F k Y X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Q 2 9 u c 3 V s d G F z J T I w Y 2 9 t Y m l u Y W R h c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R W 1 w b G V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S W 5 n c m V z b 1 8 l M j V f Y 2 F t Y m l v X 2 E l Q z M l Q j F v X 2 F u d G V y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E l u Z 3 J l c 2 9 z X 0 1 p b G x v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T X V s d G l w b G l j Y W R v c l 9 j Y X B p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U m V z d W x 0 Y W R v X 2 E l Q z M l Q j F v X 2 V t c G x l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U m 9 0 Y W N p J U M z J U I z b l 9 h Y 3 R p d m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V X R p b G l k Y W R f J T I 1 X 2 F j d G l 2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5 l b C 9 T Z S U y M G V 4 c G F u Z G k l Q z M l Q j M l M j B V d G l s a W R h Z F 8 l M j V f Y 2 F t Y m l v X 2 E l Q z M l Q j F v X 2 F u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V X R p b G l k Y W R f J T I 1 X 3 Z l b n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F V 0 a W x p Z G F k X 0 1 p b G x v b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Z W w v U 2 U l M j B l e H B h b m R p J U M z J U I z J T I w V m F s b 3 J f b W V y Y 2 F k b 1 9 t a W x s b 2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F Z l b n R h c 1 9 l b X B s Z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m V s L 1 N l J T I w Z X h w Y W 5 k a S V D M y V C M y U y M F J P R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e r K j q x P A Q b z R J f i k U K 5 U A A A A A A I A A A A A A B B m A A A A A Q A A I A A A A P h V R H B l 2 H O q S 5 q 8 8 n 0 a O a b D p s M 4 q Y 3 Q L i f o f 7 7 s L M 1 + A A A A A A 6 A A A A A A g A A I A A A A B j d 9 5 K t a X W B 9 K j O g h 1 8 K Q w j w t Z e e s 0 n + z l k A / u K w U w / U A A A A P a f L u S d M v + 1 N / C x v Y J X R c K 7 q 0 w 2 Y D t b / o z / A 5 7 Q 8 O k o y A r 9 u l Q j w A K N m x j + d / m g 9 U 3 C E P Q H a 0 f n N 1 q m g v g a 8 1 3 E + M / j j L X p D 4 j / D b M N i n W Q Q A A A A O N R A 5 x R z 9 n q 4 H w A 0 z N G N l 1 o 5 9 z 0 e 2 W G F E J m T V 2 1 + K T Q t n a E 1 s n Y m K l q N K j x m K C u k U N D A 9 + H g l b c + 0 g x D S t s G I 8 = < / D a t a M a s h u p > 
</file>

<file path=customXml/itemProps1.xml><?xml version="1.0" encoding="utf-8"?>
<ds:datastoreItem xmlns:ds="http://schemas.openxmlformats.org/officeDocument/2006/customXml" ds:itemID="{FFC5D695-433C-4090-B1CC-5A3F8652C9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Resultado_año_empleado</vt:lpstr>
      <vt:lpstr>Ventas_empleado</vt:lpstr>
      <vt:lpstr>Rotación_activos</vt:lpstr>
      <vt:lpstr>Multiplicador_capital</vt:lpstr>
      <vt:lpstr>Empleados</vt:lpstr>
      <vt:lpstr>Utilidad_%_activos</vt:lpstr>
      <vt:lpstr>Utilidad_%_ventas</vt:lpstr>
      <vt:lpstr>Capital_accs._Millones </vt:lpstr>
      <vt:lpstr>Activos_Millones</vt:lpstr>
      <vt:lpstr>Utilidad_%_cambio_año_anter</vt:lpstr>
      <vt:lpstr>Utilidad_Millones</vt:lpstr>
      <vt:lpstr>Ingreso_%_cambio_año_anteri</vt:lpstr>
      <vt:lpstr>Ingresos_Millones</vt:lpstr>
      <vt:lpstr>Valor_mercado_millones</vt:lpstr>
      <vt:lpstr>Cambio_%_valor_mercado</vt:lpstr>
      <vt:lpstr>ROE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ARMANDO ABREU ROSIQUE</dc:creator>
  <cp:lastModifiedBy>DAVID ARMANDO ABREU ROSIQUE</cp:lastModifiedBy>
  <dcterms:created xsi:type="dcterms:W3CDTF">2025-06-26T17:35:15Z</dcterms:created>
  <dcterms:modified xsi:type="dcterms:W3CDTF">2025-07-31T21:56:49Z</dcterms:modified>
</cp:coreProperties>
</file>