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comments16.xml" ContentType="application/vnd.openxmlformats-officedocument.spreadsheetml.comments+xml"/>
  <Override PartName="/xl/comments17.xml" ContentType="application/vnd.openxmlformats-officedocument.spreadsheetml.comments+xml"/>
  <Override PartName="/xl/drawings/drawing1.xml" ContentType="application/vnd.openxmlformats-officedocument.drawing+xml"/>
  <Override PartName="/xl/comments1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109"/>
  <workbookPr filterPrivacy="1" autoCompressPictures="0"/>
  <mc:AlternateContent xmlns:mc="http://schemas.openxmlformats.org/markup-compatibility/2006">
    <mc:Choice Requires="x15">
      <x15ac:absPath xmlns:x15ac="http://schemas.microsoft.com/office/spreadsheetml/2010/11/ac" url="/Users/yosemite/githubs/dualprocess/"/>
    </mc:Choice>
  </mc:AlternateContent>
  <bookViews>
    <workbookView xWindow="0" yWindow="460" windowWidth="25600" windowHeight="15540" tabRatio="826" activeTab="5"/>
  </bookViews>
  <sheets>
    <sheet name="Notes" sheetId="82" r:id="rId1"/>
    <sheet name="Summary" sheetId="5" r:id="rId2"/>
    <sheet name="Parameters" sheetId="2" r:id="rId3"/>
    <sheet name="Sources" sheetId="3" r:id="rId4"/>
    <sheet name="Bednets" sheetId="51" r:id="rId5"/>
    <sheet name="GW medians" sheetId="76" r:id="rId6"/>
    <sheet name="Holden" sheetId="69" r:id="rId7"/>
    <sheet name="Elie" sheetId="66" r:id="rId8"/>
    <sheet name="Alexander" sheetId="59" r:id="rId9"/>
    <sheet name="Natalie" sheetId="62" r:id="rId10"/>
    <sheet name="Tim" sheetId="64" r:id="rId11"/>
    <sheet name="Sean" sheetId="58" r:id="rId12"/>
    <sheet name="Milan" sheetId="74" r:id="rId13"/>
    <sheet name="Rebecca" sheetId="75" r:id="rId14"/>
    <sheet name="Tyler" sheetId="60" r:id="rId15"/>
    <sheet name="Emma" sheetId="73" r:id="rId16"/>
    <sheet name="Andrew" sheetId="57" r:id="rId17"/>
    <sheet name="Leon" sheetId="71" r:id="rId18"/>
    <sheet name="Bednets-IR" sheetId="52" r:id="rId19"/>
    <sheet name="Model" sheetId="53" r:id="rId20"/>
    <sheet name="2014 model" sheetId="50" r:id="rId21"/>
  </sheets>
  <definedNames>
    <definedName name="sources1145" localSheetId="3">Sources!$A$32</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M15" i="50" l="1"/>
  <c r="M14" i="50"/>
  <c r="M13" i="50"/>
  <c r="M12" i="50"/>
  <c r="M11" i="50"/>
  <c r="M10" i="50"/>
  <c r="M9" i="50"/>
  <c r="M8" i="50"/>
  <c r="M7" i="50"/>
  <c r="J18" i="50"/>
  <c r="J17" i="50"/>
  <c r="J16" i="50"/>
  <c r="J15" i="50"/>
  <c r="J14" i="50"/>
  <c r="J12" i="50"/>
  <c r="J11" i="50"/>
  <c r="J10" i="50"/>
  <c r="J9" i="50"/>
  <c r="J8" i="50"/>
  <c r="J7" i="50"/>
  <c r="G18" i="50"/>
  <c r="G17" i="50"/>
  <c r="G16" i="50"/>
  <c r="G15" i="50"/>
  <c r="G14" i="50"/>
  <c r="G11" i="50"/>
  <c r="G10" i="50"/>
  <c r="G9" i="50"/>
  <c r="G8" i="50"/>
  <c r="G7" i="50"/>
  <c r="D17" i="50"/>
  <c r="D16" i="50"/>
  <c r="D15" i="50"/>
  <c r="D14" i="50"/>
  <c r="D11" i="50"/>
  <c r="D10" i="50"/>
  <c r="D7" i="50"/>
  <c r="G33" i="51"/>
  <c r="G34" i="51"/>
  <c r="G35" i="51"/>
  <c r="G24" i="51"/>
  <c r="E22" i="51"/>
  <c r="C22" i="51"/>
  <c r="G22" i="51"/>
  <c r="E21" i="51"/>
  <c r="C21" i="51"/>
  <c r="G21" i="51"/>
  <c r="G25" i="51"/>
  <c r="G28" i="51"/>
  <c r="G30" i="51"/>
  <c r="G36" i="51"/>
  <c r="G10" i="51"/>
  <c r="G14" i="51"/>
  <c r="G16" i="51"/>
  <c r="G18" i="51"/>
  <c r="G19" i="51"/>
  <c r="G38" i="51"/>
  <c r="G44" i="51"/>
  <c r="R36" i="50"/>
  <c r="E23" i="51"/>
  <c r="C23" i="51"/>
  <c r="G23" i="51"/>
  <c r="G26" i="51"/>
  <c r="G29" i="51"/>
  <c r="G31" i="51"/>
  <c r="G37" i="51"/>
  <c r="G42" i="51"/>
  <c r="G43" i="51"/>
  <c r="S36" i="50"/>
  <c r="AR5" i="50"/>
  <c r="AR6" i="50"/>
  <c r="AR7" i="50"/>
  <c r="AR8" i="50"/>
  <c r="AR9" i="50"/>
  <c r="AR10" i="50"/>
  <c r="AR11" i="50"/>
  <c r="AR12" i="50"/>
  <c r="AR13" i="50"/>
  <c r="AR14" i="50"/>
  <c r="AR15" i="50"/>
  <c r="AR16" i="50"/>
  <c r="AR17" i="50"/>
  <c r="AR18" i="50"/>
  <c r="AR19" i="50"/>
  <c r="AR20" i="50"/>
  <c r="AR21" i="50"/>
  <c r="AR22" i="50"/>
  <c r="AR23" i="50"/>
  <c r="AR24" i="50"/>
  <c r="AR25" i="50"/>
  <c r="AR26" i="50"/>
  <c r="AR27" i="50"/>
  <c r="AR28" i="50"/>
  <c r="AR29" i="50"/>
  <c r="AR30" i="50"/>
  <c r="AR33" i="50"/>
  <c r="AR34" i="50"/>
  <c r="AR35" i="50"/>
  <c r="AR36" i="50"/>
  <c r="AR37" i="50"/>
  <c r="AR38" i="50"/>
  <c r="AR39" i="50"/>
  <c r="AR40" i="50"/>
  <c r="AR41" i="50"/>
  <c r="AR42" i="50"/>
  <c r="AR43" i="50"/>
  <c r="AR44" i="50"/>
  <c r="AR45" i="50"/>
  <c r="AR46" i="50"/>
  <c r="AR47" i="50"/>
  <c r="AR48" i="50"/>
  <c r="AR49" i="50"/>
  <c r="AR50" i="50"/>
  <c r="AR51" i="50"/>
  <c r="AR52" i="50"/>
  <c r="AR53" i="50"/>
  <c r="AR54" i="50"/>
  <c r="AR55" i="50"/>
  <c r="AR56" i="50"/>
  <c r="AR57" i="50"/>
  <c r="AR58" i="50"/>
  <c r="AR59" i="50"/>
  <c r="AR60" i="50"/>
  <c r="AR61" i="50"/>
  <c r="AR62" i="50"/>
  <c r="AR63" i="50"/>
  <c r="AR64" i="50"/>
  <c r="AR65" i="50"/>
  <c r="AR66" i="50"/>
  <c r="AR67" i="50"/>
  <c r="AR68" i="50"/>
  <c r="AR69" i="50"/>
  <c r="AR70" i="50"/>
  <c r="AR71" i="50"/>
  <c r="AR72" i="50"/>
  <c r="AR73" i="50"/>
  <c r="AR74" i="50"/>
  <c r="AR75" i="50"/>
  <c r="AR76" i="50"/>
  <c r="AR77" i="50"/>
  <c r="AR78" i="50"/>
  <c r="AR79" i="50"/>
  <c r="AR80" i="50"/>
  <c r="AR81" i="50"/>
  <c r="AR82" i="50"/>
  <c r="AR83" i="50"/>
  <c r="AR84" i="50"/>
  <c r="AR85" i="50"/>
  <c r="AR86" i="50"/>
  <c r="AR87" i="50"/>
  <c r="AR88" i="50"/>
  <c r="AR89" i="50"/>
  <c r="AR90" i="50"/>
  <c r="AR91" i="50"/>
  <c r="AR92" i="50"/>
  <c r="AR93" i="50"/>
  <c r="AR94" i="50"/>
  <c r="AR95" i="50"/>
  <c r="AR96" i="50"/>
  <c r="AR97" i="50"/>
  <c r="AR98" i="50"/>
  <c r="AR99" i="50"/>
  <c r="AR100" i="50"/>
  <c r="AR101" i="50"/>
  <c r="AR102" i="50"/>
  <c r="AR103" i="50"/>
  <c r="AR104" i="50"/>
  <c r="AR105" i="50"/>
  <c r="AR106" i="50"/>
  <c r="AR107" i="50"/>
  <c r="AR108" i="50"/>
  <c r="AR109" i="50"/>
  <c r="AR110" i="50"/>
  <c r="AR111" i="50"/>
  <c r="AR112" i="50"/>
  <c r="AR113" i="50"/>
  <c r="AY113" i="50"/>
  <c r="AS113" i="50"/>
  <c r="AU113" i="50"/>
  <c r="AV113" i="50"/>
  <c r="AW113" i="50"/>
  <c r="AX113" i="50"/>
  <c r="AY112" i="50"/>
  <c r="AS112" i="50"/>
  <c r="AU112" i="50"/>
  <c r="AV112" i="50"/>
  <c r="AW112" i="50"/>
  <c r="AX112" i="50"/>
  <c r="AY111" i="50"/>
  <c r="AS111" i="50"/>
  <c r="AU111" i="50"/>
  <c r="AV111" i="50"/>
  <c r="AW111" i="50"/>
  <c r="AX111" i="50"/>
  <c r="AY110" i="50"/>
  <c r="AS110" i="50"/>
  <c r="AU110" i="50"/>
  <c r="AV110" i="50"/>
  <c r="AW110" i="50"/>
  <c r="AX110" i="50"/>
  <c r="AY109" i="50"/>
  <c r="AS109" i="50"/>
  <c r="AU109" i="50"/>
  <c r="AV109" i="50"/>
  <c r="AW109" i="50"/>
  <c r="AX109" i="50"/>
  <c r="AY108" i="50"/>
  <c r="AS108" i="50"/>
  <c r="AU108" i="50"/>
  <c r="AV108" i="50"/>
  <c r="AW108" i="50"/>
  <c r="AX108" i="50"/>
  <c r="AY107" i="50"/>
  <c r="AS107" i="50"/>
  <c r="AU107" i="50"/>
  <c r="AV107" i="50"/>
  <c r="AW107" i="50"/>
  <c r="AX107" i="50"/>
  <c r="AY106" i="50"/>
  <c r="AS106" i="50"/>
  <c r="AU106" i="50"/>
  <c r="AV106" i="50"/>
  <c r="AW106" i="50"/>
  <c r="AX106" i="50"/>
  <c r="AY105" i="50"/>
  <c r="AS105" i="50"/>
  <c r="AU105" i="50"/>
  <c r="AV105" i="50"/>
  <c r="AW105" i="50"/>
  <c r="AX105" i="50"/>
  <c r="AY104" i="50"/>
  <c r="AS104" i="50"/>
  <c r="AU104" i="50"/>
  <c r="AV104" i="50"/>
  <c r="AW104" i="50"/>
  <c r="AX104" i="50"/>
  <c r="AY103" i="50"/>
  <c r="AS103" i="50"/>
  <c r="AU103" i="50"/>
  <c r="AV103" i="50"/>
  <c r="AW103" i="50"/>
  <c r="AX103" i="50"/>
  <c r="AY102" i="50"/>
  <c r="AS102" i="50"/>
  <c r="AU102" i="50"/>
  <c r="AV102" i="50"/>
  <c r="AW102" i="50"/>
  <c r="AX102" i="50"/>
  <c r="AY101" i="50"/>
  <c r="AS101" i="50"/>
  <c r="AU101" i="50"/>
  <c r="AV101" i="50"/>
  <c r="AW101" i="50"/>
  <c r="AX101" i="50"/>
  <c r="AY100" i="50"/>
  <c r="AS100" i="50"/>
  <c r="AU100" i="50"/>
  <c r="AV100" i="50"/>
  <c r="AW100" i="50"/>
  <c r="AX100" i="50"/>
  <c r="AY99" i="50"/>
  <c r="AS99" i="50"/>
  <c r="AU99" i="50"/>
  <c r="AV99" i="50"/>
  <c r="AW99" i="50"/>
  <c r="AX99" i="50"/>
  <c r="AY98" i="50"/>
  <c r="AS98" i="50"/>
  <c r="AU98" i="50"/>
  <c r="AV98" i="50"/>
  <c r="AW98" i="50"/>
  <c r="AX98" i="50"/>
  <c r="AY97" i="50"/>
  <c r="AS97" i="50"/>
  <c r="AU97" i="50"/>
  <c r="AV97" i="50"/>
  <c r="AW97" i="50"/>
  <c r="AX97" i="50"/>
  <c r="AY96" i="50"/>
  <c r="AS96" i="50"/>
  <c r="AU96" i="50"/>
  <c r="AV96" i="50"/>
  <c r="AW96" i="50"/>
  <c r="AX96" i="50"/>
  <c r="AY95" i="50"/>
  <c r="AS95" i="50"/>
  <c r="AU95" i="50"/>
  <c r="AV95" i="50"/>
  <c r="AW95" i="50"/>
  <c r="AX95" i="50"/>
  <c r="AY94" i="50"/>
  <c r="AS94" i="50"/>
  <c r="AU94" i="50"/>
  <c r="AV94" i="50"/>
  <c r="AW94" i="50"/>
  <c r="AX94" i="50"/>
  <c r="AY93" i="50"/>
  <c r="AS93" i="50"/>
  <c r="AU93" i="50"/>
  <c r="AV93" i="50"/>
  <c r="AW93" i="50"/>
  <c r="AX93" i="50"/>
  <c r="AY92" i="50"/>
  <c r="AS92" i="50"/>
  <c r="AU92" i="50"/>
  <c r="AV92" i="50"/>
  <c r="AW92" i="50"/>
  <c r="AX92" i="50"/>
  <c r="AY91" i="50"/>
  <c r="AS91" i="50"/>
  <c r="AU91" i="50"/>
  <c r="AV91" i="50"/>
  <c r="AW91" i="50"/>
  <c r="AX91" i="50"/>
  <c r="AY90" i="50"/>
  <c r="AS90" i="50"/>
  <c r="AU90" i="50"/>
  <c r="AV90" i="50"/>
  <c r="AW90" i="50"/>
  <c r="AX90" i="50"/>
  <c r="AY89" i="50"/>
  <c r="AS89" i="50"/>
  <c r="AU89" i="50"/>
  <c r="AV89" i="50"/>
  <c r="AW89" i="50"/>
  <c r="AX89" i="50"/>
  <c r="AY88" i="50"/>
  <c r="AS88" i="50"/>
  <c r="AU88" i="50"/>
  <c r="AV88" i="50"/>
  <c r="AW88" i="50"/>
  <c r="AX88" i="50"/>
  <c r="AY87" i="50"/>
  <c r="AS87" i="50"/>
  <c r="AU87" i="50"/>
  <c r="AV87" i="50"/>
  <c r="AW87" i="50"/>
  <c r="AX87" i="50"/>
  <c r="AY86" i="50"/>
  <c r="AS86" i="50"/>
  <c r="AU86" i="50"/>
  <c r="AV86" i="50"/>
  <c r="AW86" i="50"/>
  <c r="AX86" i="50"/>
  <c r="AY85" i="50"/>
  <c r="AS85" i="50"/>
  <c r="AU85" i="50"/>
  <c r="AV85" i="50"/>
  <c r="AW85" i="50"/>
  <c r="AX85" i="50"/>
  <c r="AY84" i="50"/>
  <c r="AS84" i="50"/>
  <c r="AU84" i="50"/>
  <c r="AV84" i="50"/>
  <c r="AW84" i="50"/>
  <c r="AX84" i="50"/>
  <c r="AY83" i="50"/>
  <c r="AS83" i="50"/>
  <c r="AU83" i="50"/>
  <c r="AV83" i="50"/>
  <c r="AW83" i="50"/>
  <c r="AX83" i="50"/>
  <c r="AY82" i="50"/>
  <c r="AS82" i="50"/>
  <c r="AU82" i="50"/>
  <c r="AV82" i="50"/>
  <c r="AW82" i="50"/>
  <c r="AX82" i="50"/>
  <c r="AY81" i="50"/>
  <c r="AS81" i="50"/>
  <c r="AU81" i="50"/>
  <c r="AV81" i="50"/>
  <c r="AW81" i="50"/>
  <c r="AX81" i="50"/>
  <c r="AY80" i="50"/>
  <c r="AS80" i="50"/>
  <c r="AU80" i="50"/>
  <c r="AV80" i="50"/>
  <c r="AW80" i="50"/>
  <c r="AX80" i="50"/>
  <c r="AY79" i="50"/>
  <c r="AS79" i="50"/>
  <c r="AU79" i="50"/>
  <c r="AV79" i="50"/>
  <c r="AW79" i="50"/>
  <c r="AX79" i="50"/>
  <c r="AY78" i="50"/>
  <c r="AS78" i="50"/>
  <c r="AU78" i="50"/>
  <c r="AV78" i="50"/>
  <c r="AW78" i="50"/>
  <c r="AX78" i="50"/>
  <c r="AY77" i="50"/>
  <c r="AS77" i="50"/>
  <c r="AU77" i="50"/>
  <c r="AV77" i="50"/>
  <c r="AW77" i="50"/>
  <c r="AX77" i="50"/>
  <c r="AY76" i="50"/>
  <c r="AS76" i="50"/>
  <c r="AU76" i="50"/>
  <c r="AV76" i="50"/>
  <c r="AW76" i="50"/>
  <c r="AX76" i="50"/>
  <c r="AY75" i="50"/>
  <c r="AS75" i="50"/>
  <c r="AU75" i="50"/>
  <c r="AV75" i="50"/>
  <c r="AW75" i="50"/>
  <c r="AX75" i="50"/>
  <c r="AY74" i="50"/>
  <c r="AS74" i="50"/>
  <c r="AU74" i="50"/>
  <c r="AV74" i="50"/>
  <c r="AW74" i="50"/>
  <c r="AX74" i="50"/>
  <c r="AY73" i="50"/>
  <c r="AS73" i="50"/>
  <c r="AU73" i="50"/>
  <c r="AV73" i="50"/>
  <c r="AW73" i="50"/>
  <c r="AX73" i="50"/>
  <c r="AY72" i="50"/>
  <c r="AS72" i="50"/>
  <c r="AU72" i="50"/>
  <c r="AV72" i="50"/>
  <c r="AW72" i="50"/>
  <c r="AX72" i="50"/>
  <c r="AY71" i="50"/>
  <c r="AS71" i="50"/>
  <c r="AU71" i="50"/>
  <c r="AV71" i="50"/>
  <c r="AW71" i="50"/>
  <c r="AX71" i="50"/>
  <c r="AY70" i="50"/>
  <c r="AS70" i="50"/>
  <c r="AU70" i="50"/>
  <c r="AV70" i="50"/>
  <c r="AW70" i="50"/>
  <c r="AX70" i="50"/>
  <c r="AY69" i="50"/>
  <c r="AS69" i="50"/>
  <c r="AU69" i="50"/>
  <c r="AV69" i="50"/>
  <c r="AW69" i="50"/>
  <c r="AX69" i="50"/>
  <c r="AY68" i="50"/>
  <c r="AS68" i="50"/>
  <c r="AU68" i="50"/>
  <c r="AV68" i="50"/>
  <c r="AW68" i="50"/>
  <c r="AX68" i="50"/>
  <c r="AY67" i="50"/>
  <c r="AS67" i="50"/>
  <c r="AU67" i="50"/>
  <c r="AV67" i="50"/>
  <c r="AW67" i="50"/>
  <c r="AX67" i="50"/>
  <c r="AY66" i="50"/>
  <c r="AS66" i="50"/>
  <c r="AU66" i="50"/>
  <c r="AV66" i="50"/>
  <c r="AW66" i="50"/>
  <c r="AX66" i="50"/>
  <c r="AY65" i="50"/>
  <c r="AS65" i="50"/>
  <c r="AU65" i="50"/>
  <c r="AV65" i="50"/>
  <c r="AW65" i="50"/>
  <c r="AX65" i="50"/>
  <c r="AY64" i="50"/>
  <c r="AS64" i="50"/>
  <c r="AU64" i="50"/>
  <c r="AV64" i="50"/>
  <c r="AW64" i="50"/>
  <c r="AX64" i="50"/>
  <c r="AY63" i="50"/>
  <c r="AS63" i="50"/>
  <c r="AU63" i="50"/>
  <c r="AV63" i="50"/>
  <c r="AW63" i="50"/>
  <c r="AX63" i="50"/>
  <c r="AY62" i="50"/>
  <c r="AS62" i="50"/>
  <c r="AU62" i="50"/>
  <c r="AV62" i="50"/>
  <c r="AW62" i="50"/>
  <c r="AX62" i="50"/>
  <c r="AY61" i="50"/>
  <c r="AS61" i="50"/>
  <c r="AU61" i="50"/>
  <c r="AV61" i="50"/>
  <c r="AW61" i="50"/>
  <c r="AX61" i="50"/>
  <c r="AY60" i="50"/>
  <c r="AS60" i="50"/>
  <c r="AU60" i="50"/>
  <c r="AV60" i="50"/>
  <c r="AW60" i="50"/>
  <c r="AX60" i="50"/>
  <c r="AY59" i="50"/>
  <c r="AS59" i="50"/>
  <c r="AU59" i="50"/>
  <c r="AV59" i="50"/>
  <c r="AW59" i="50"/>
  <c r="AX59" i="50"/>
  <c r="AY58" i="50"/>
  <c r="AS58" i="50"/>
  <c r="AU58" i="50"/>
  <c r="AV58" i="50"/>
  <c r="AW58" i="50"/>
  <c r="AX58" i="50"/>
  <c r="AY57" i="50"/>
  <c r="AS57" i="50"/>
  <c r="AU57" i="50"/>
  <c r="AV57" i="50"/>
  <c r="AW57" i="50"/>
  <c r="AX57" i="50"/>
  <c r="AY56" i="50"/>
  <c r="AS56" i="50"/>
  <c r="AU56" i="50"/>
  <c r="AV56" i="50"/>
  <c r="AW56" i="50"/>
  <c r="AX56" i="50"/>
  <c r="AY55" i="50"/>
  <c r="AS55" i="50"/>
  <c r="AU55" i="50"/>
  <c r="AV55" i="50"/>
  <c r="AW55" i="50"/>
  <c r="AX55" i="50"/>
  <c r="AY54" i="50"/>
  <c r="AS54" i="50"/>
  <c r="AU54" i="50"/>
  <c r="AV54" i="50"/>
  <c r="AW54" i="50"/>
  <c r="AX54" i="50"/>
  <c r="AY53" i="50"/>
  <c r="AS53" i="50"/>
  <c r="AU53" i="50"/>
  <c r="AV53" i="50"/>
  <c r="AW53" i="50"/>
  <c r="AX53" i="50"/>
  <c r="AY52" i="50"/>
  <c r="AS52" i="50"/>
  <c r="AU52" i="50"/>
  <c r="AV52" i="50"/>
  <c r="AW52" i="50"/>
  <c r="AX52" i="50"/>
  <c r="AY51" i="50"/>
  <c r="AS51" i="50"/>
  <c r="AU51" i="50"/>
  <c r="AV51" i="50"/>
  <c r="AW51" i="50"/>
  <c r="AX51" i="50"/>
  <c r="AY50" i="50"/>
  <c r="AS50" i="50"/>
  <c r="AU50" i="50"/>
  <c r="AV50" i="50"/>
  <c r="AW50" i="50"/>
  <c r="AX50" i="50"/>
  <c r="AY49" i="50"/>
  <c r="AS49" i="50"/>
  <c r="AU49" i="50"/>
  <c r="AV49" i="50"/>
  <c r="AW49" i="50"/>
  <c r="AX49" i="50"/>
  <c r="AY48" i="50"/>
  <c r="AS48" i="50"/>
  <c r="AU48" i="50"/>
  <c r="AV48" i="50"/>
  <c r="AW48" i="50"/>
  <c r="AX48" i="50"/>
  <c r="AY47" i="50"/>
  <c r="AS47" i="50"/>
  <c r="AU47" i="50"/>
  <c r="AV47" i="50"/>
  <c r="AW47" i="50"/>
  <c r="AX47" i="50"/>
  <c r="AY46" i="50"/>
  <c r="AS46" i="50"/>
  <c r="AU46" i="50"/>
  <c r="AV46" i="50"/>
  <c r="AW46" i="50"/>
  <c r="AX46" i="50"/>
  <c r="AY45" i="50"/>
  <c r="AS45" i="50"/>
  <c r="AU45" i="50"/>
  <c r="AV45" i="50"/>
  <c r="AW45" i="50"/>
  <c r="AX45" i="50"/>
  <c r="AY44" i="50"/>
  <c r="AS44" i="50"/>
  <c r="AU44" i="50"/>
  <c r="AV44" i="50"/>
  <c r="AW44" i="50"/>
  <c r="AX44" i="50"/>
  <c r="AY43" i="50"/>
  <c r="AS43" i="50"/>
  <c r="AU43" i="50"/>
  <c r="AV43" i="50"/>
  <c r="AW43" i="50"/>
  <c r="AX43" i="50"/>
  <c r="AY42" i="50"/>
  <c r="AS42" i="50"/>
  <c r="AU42" i="50"/>
  <c r="AV42" i="50"/>
  <c r="AW42" i="50"/>
  <c r="AX42" i="50"/>
  <c r="AY41" i="50"/>
  <c r="AS41" i="50"/>
  <c r="AU41" i="50"/>
  <c r="AV41" i="50"/>
  <c r="AW41" i="50"/>
  <c r="AX41" i="50"/>
  <c r="AY40" i="50"/>
  <c r="AS40" i="50"/>
  <c r="AU40" i="50"/>
  <c r="AV40" i="50"/>
  <c r="AW40" i="50"/>
  <c r="AX40" i="50"/>
  <c r="AY39" i="50"/>
  <c r="AS39" i="50"/>
  <c r="AU39" i="50"/>
  <c r="AV39" i="50"/>
  <c r="AW39" i="50"/>
  <c r="AX39" i="50"/>
  <c r="AY38" i="50"/>
  <c r="AS38" i="50"/>
  <c r="AU38" i="50"/>
  <c r="AV38" i="50"/>
  <c r="AW38" i="50"/>
  <c r="AX38" i="50"/>
  <c r="AY37" i="50"/>
  <c r="AS37" i="50"/>
  <c r="AU37" i="50"/>
  <c r="AV37" i="50"/>
  <c r="AW37" i="50"/>
  <c r="AX37" i="50"/>
  <c r="AY36" i="50"/>
  <c r="AS36" i="50"/>
  <c r="AU36" i="50"/>
  <c r="AV36" i="50"/>
  <c r="AW36" i="50"/>
  <c r="AX36" i="50"/>
  <c r="U36" i="50"/>
  <c r="AY35" i="50"/>
  <c r="AS35" i="50"/>
  <c r="AU35" i="50"/>
  <c r="AV35" i="50"/>
  <c r="AW35" i="50"/>
  <c r="AX35" i="50"/>
  <c r="AY34" i="50"/>
  <c r="AS34" i="50"/>
  <c r="AU34" i="50"/>
  <c r="AV34" i="50"/>
  <c r="AW34" i="50"/>
  <c r="AX34" i="50"/>
  <c r="AY33" i="50"/>
  <c r="AS33" i="50"/>
  <c r="AU33" i="50"/>
  <c r="AV33" i="50"/>
  <c r="AW33" i="50"/>
  <c r="AX33" i="50"/>
  <c r="S16" i="50"/>
  <c r="V16" i="50"/>
  <c r="I33" i="50"/>
  <c r="S15" i="50"/>
  <c r="T15" i="50"/>
  <c r="V15" i="50"/>
  <c r="I32" i="50"/>
  <c r="R6" i="50"/>
  <c r="S6" i="50"/>
  <c r="T6" i="50"/>
  <c r="S11" i="50"/>
  <c r="T11" i="50"/>
  <c r="W27" i="50"/>
  <c r="R5" i="50"/>
  <c r="S5" i="50"/>
  <c r="T5" i="50"/>
  <c r="W23" i="50"/>
  <c r="W31" i="50"/>
  <c r="S14" i="50"/>
  <c r="T14" i="50"/>
  <c r="V14" i="50"/>
  <c r="I31" i="50"/>
  <c r="AY30" i="50"/>
  <c r="AS30" i="50"/>
  <c r="AU30" i="50"/>
  <c r="AV30" i="50"/>
  <c r="AW30" i="50"/>
  <c r="AX30" i="50"/>
  <c r="V5" i="50"/>
  <c r="S10" i="50"/>
  <c r="T10" i="50"/>
  <c r="W25" i="50"/>
  <c r="W30" i="50"/>
  <c r="AY29" i="50"/>
  <c r="AS29" i="50"/>
  <c r="AU29" i="50"/>
  <c r="AV29" i="50"/>
  <c r="AW29" i="50"/>
  <c r="AX29" i="50"/>
  <c r="S9" i="50"/>
  <c r="T9" i="50"/>
  <c r="W24" i="50"/>
  <c r="W29" i="50"/>
  <c r="I23" i="50"/>
  <c r="AS4" i="50"/>
  <c r="AT4" i="50"/>
  <c r="AS5" i="50"/>
  <c r="AU5" i="50"/>
  <c r="AV5" i="50"/>
  <c r="AW5" i="50"/>
  <c r="AX5" i="50"/>
  <c r="AY5" i="50"/>
  <c r="AS6" i="50"/>
  <c r="AU6" i="50"/>
  <c r="AV6" i="50"/>
  <c r="AW6" i="50"/>
  <c r="AX6" i="50"/>
  <c r="AY6" i="50"/>
  <c r="AS7" i="50"/>
  <c r="AU7" i="50"/>
  <c r="AV7" i="50"/>
  <c r="AW7" i="50"/>
  <c r="AX7" i="50"/>
  <c r="AY7" i="50"/>
  <c r="AS8" i="50"/>
  <c r="AU8" i="50"/>
  <c r="AV8" i="50"/>
  <c r="AW8" i="50"/>
  <c r="AX8" i="50"/>
  <c r="AY8" i="50"/>
  <c r="AS9" i="50"/>
  <c r="AU9" i="50"/>
  <c r="AV9" i="50"/>
  <c r="AW9" i="50"/>
  <c r="AX9" i="50"/>
  <c r="AY9" i="50"/>
  <c r="AS10" i="50"/>
  <c r="AU10" i="50"/>
  <c r="AV10" i="50"/>
  <c r="AW10" i="50"/>
  <c r="AX10" i="50"/>
  <c r="AY10" i="50"/>
  <c r="AS11" i="50"/>
  <c r="AU11" i="50"/>
  <c r="AV11" i="50"/>
  <c r="AW11" i="50"/>
  <c r="AX11" i="50"/>
  <c r="AY11" i="50"/>
  <c r="AS12" i="50"/>
  <c r="AU12" i="50"/>
  <c r="AV12" i="50"/>
  <c r="AW12" i="50"/>
  <c r="AX12" i="50"/>
  <c r="AY12" i="50"/>
  <c r="AS13" i="50"/>
  <c r="AU13" i="50"/>
  <c r="AV13" i="50"/>
  <c r="AW13" i="50"/>
  <c r="AX13" i="50"/>
  <c r="AY13" i="50"/>
  <c r="AS14" i="50"/>
  <c r="AU14" i="50"/>
  <c r="AV14" i="50"/>
  <c r="AW14" i="50"/>
  <c r="AX14" i="50"/>
  <c r="AY14" i="50"/>
  <c r="AS15" i="50"/>
  <c r="AU15" i="50"/>
  <c r="AV15" i="50"/>
  <c r="AW15" i="50"/>
  <c r="AX15" i="50"/>
  <c r="AY15" i="50"/>
  <c r="AS16" i="50"/>
  <c r="AU16" i="50"/>
  <c r="AV16" i="50"/>
  <c r="AW16" i="50"/>
  <c r="AX16" i="50"/>
  <c r="AY16" i="50"/>
  <c r="AS17" i="50"/>
  <c r="AU17" i="50"/>
  <c r="AV17" i="50"/>
  <c r="AW17" i="50"/>
  <c r="AX17" i="50"/>
  <c r="AY17" i="50"/>
  <c r="AS18" i="50"/>
  <c r="AU18" i="50"/>
  <c r="AV18" i="50"/>
  <c r="AW18" i="50"/>
  <c r="AX18" i="50"/>
  <c r="AY18" i="50"/>
  <c r="AS19" i="50"/>
  <c r="AU19" i="50"/>
  <c r="AV19" i="50"/>
  <c r="AW19" i="50"/>
  <c r="AX19" i="50"/>
  <c r="AY19" i="50"/>
  <c r="AS20" i="50"/>
  <c r="AU20" i="50"/>
  <c r="AV20" i="50"/>
  <c r="AW20" i="50"/>
  <c r="AX20" i="50"/>
  <c r="AY20" i="50"/>
  <c r="AS21" i="50"/>
  <c r="AU21" i="50"/>
  <c r="AV21" i="50"/>
  <c r="AW21" i="50"/>
  <c r="AX21" i="50"/>
  <c r="AY21" i="50"/>
  <c r="AS22" i="50"/>
  <c r="AU22" i="50"/>
  <c r="AV22" i="50"/>
  <c r="AW22" i="50"/>
  <c r="AX22" i="50"/>
  <c r="AY22" i="50"/>
  <c r="AS23" i="50"/>
  <c r="AU23" i="50"/>
  <c r="AV23" i="50"/>
  <c r="AW23" i="50"/>
  <c r="AX23" i="50"/>
  <c r="AY23" i="50"/>
  <c r="AS24" i="50"/>
  <c r="AU24" i="50"/>
  <c r="AV24" i="50"/>
  <c r="AW24" i="50"/>
  <c r="AX24" i="50"/>
  <c r="AY24" i="50"/>
  <c r="AY25" i="50"/>
  <c r="AY26" i="50"/>
  <c r="AY27" i="50"/>
  <c r="AY28" i="50"/>
  <c r="AZ5" i="50"/>
  <c r="R19" i="50"/>
  <c r="AW4" i="50"/>
  <c r="AX4" i="50"/>
  <c r="AY4" i="50"/>
  <c r="S19" i="50"/>
  <c r="T19" i="50"/>
  <c r="V19" i="50"/>
  <c r="I24" i="50"/>
  <c r="G29" i="50"/>
  <c r="AS28" i="50"/>
  <c r="AU28" i="50"/>
  <c r="AV28" i="50"/>
  <c r="AW28" i="50"/>
  <c r="AX28" i="50"/>
  <c r="I22" i="50"/>
  <c r="G28" i="50"/>
  <c r="AS27" i="50"/>
  <c r="AU27" i="50"/>
  <c r="AV27" i="50"/>
  <c r="AW27" i="50"/>
  <c r="AX27" i="50"/>
  <c r="I21" i="50"/>
  <c r="G27" i="50"/>
  <c r="AS26" i="50"/>
  <c r="AU26" i="50"/>
  <c r="AV26" i="50"/>
  <c r="AW26" i="50"/>
  <c r="AX26" i="50"/>
  <c r="W26" i="50"/>
  <c r="AS25" i="50"/>
  <c r="AU25" i="50"/>
  <c r="AV25" i="50"/>
  <c r="AW25" i="50"/>
  <c r="AX25" i="50"/>
  <c r="S25" i="50"/>
  <c r="I25" i="50"/>
  <c r="S24" i="50"/>
  <c r="S23" i="50"/>
  <c r="W16" i="50"/>
  <c r="W15" i="50"/>
  <c r="W14" i="50"/>
  <c r="BA5" i="50"/>
  <c r="D37" i="59"/>
  <c r="R5" i="59"/>
  <c r="S5" i="59"/>
  <c r="G37" i="59"/>
  <c r="T5" i="59"/>
  <c r="D11" i="2"/>
  <c r="U37" i="59"/>
  <c r="AB6" i="59"/>
  <c r="AB13" i="59"/>
  <c r="V5" i="59"/>
  <c r="S9" i="59"/>
  <c r="T9" i="59"/>
  <c r="I21" i="59"/>
  <c r="AB7" i="59"/>
  <c r="AB14" i="59"/>
  <c r="S10" i="59"/>
  <c r="T10" i="59"/>
  <c r="I22" i="59"/>
  <c r="W37" i="59"/>
  <c r="V37" i="59"/>
  <c r="R6" i="59"/>
  <c r="S6" i="59"/>
  <c r="T6" i="59"/>
  <c r="S12" i="59"/>
  <c r="T12" i="59"/>
  <c r="I23" i="59"/>
  <c r="D60" i="2"/>
  <c r="Q37" i="59"/>
  <c r="AT4" i="59"/>
  <c r="AU4" i="59"/>
  <c r="AT5" i="59"/>
  <c r="AV5" i="59"/>
  <c r="AS5" i="59"/>
  <c r="AS6" i="59"/>
  <c r="AX5" i="59"/>
  <c r="D65" i="2"/>
  <c r="D69" i="2"/>
  <c r="D70" i="2"/>
  <c r="D71" i="2"/>
  <c r="D58" i="2"/>
  <c r="J37" i="59"/>
  <c r="AY5" i="59"/>
  <c r="AZ5" i="59"/>
  <c r="AW5" i="59"/>
  <c r="AT6" i="59"/>
  <c r="AV6" i="59"/>
  <c r="AS7" i="59"/>
  <c r="AX6" i="59"/>
  <c r="AY6" i="59"/>
  <c r="AZ6" i="59"/>
  <c r="AW6" i="59"/>
  <c r="AT7" i="59"/>
  <c r="AV7" i="59"/>
  <c r="AS8" i="59"/>
  <c r="AX7" i="59"/>
  <c r="AY7" i="59"/>
  <c r="AZ7" i="59"/>
  <c r="AW7" i="59"/>
  <c r="AT8" i="59"/>
  <c r="AV8" i="59"/>
  <c r="AS9" i="59"/>
  <c r="AX8" i="59"/>
  <c r="AY8" i="59"/>
  <c r="AZ8" i="59"/>
  <c r="AW8" i="59"/>
  <c r="AT9" i="59"/>
  <c r="AV9" i="59"/>
  <c r="AS10" i="59"/>
  <c r="AX9" i="59"/>
  <c r="AY9" i="59"/>
  <c r="AZ9" i="59"/>
  <c r="AW9" i="59"/>
  <c r="AT10" i="59"/>
  <c r="AV10" i="59"/>
  <c r="AS11" i="59"/>
  <c r="AX10" i="59"/>
  <c r="AY10" i="59"/>
  <c r="AZ10" i="59"/>
  <c r="AW10" i="59"/>
  <c r="AT11" i="59"/>
  <c r="AV11" i="59"/>
  <c r="AS12" i="59"/>
  <c r="AX11" i="59"/>
  <c r="AY11" i="59"/>
  <c r="AZ11" i="59"/>
  <c r="AW11" i="59"/>
  <c r="AT12" i="59"/>
  <c r="AV12" i="59"/>
  <c r="AS13" i="59"/>
  <c r="AX12" i="59"/>
  <c r="AY12" i="59"/>
  <c r="AZ12" i="59"/>
  <c r="AW12" i="59"/>
  <c r="AT13" i="59"/>
  <c r="AV13" i="59"/>
  <c r="AS14" i="59"/>
  <c r="AX13" i="59"/>
  <c r="AY13" i="59"/>
  <c r="AZ13" i="59"/>
  <c r="AW13" i="59"/>
  <c r="AT14" i="59"/>
  <c r="AV14" i="59"/>
  <c r="AS15" i="59"/>
  <c r="AX14" i="59"/>
  <c r="AY14" i="59"/>
  <c r="AZ14" i="59"/>
  <c r="AW14" i="59"/>
  <c r="AT15" i="59"/>
  <c r="AV15" i="59"/>
  <c r="AS16" i="59"/>
  <c r="AX15" i="59"/>
  <c r="AY15" i="59"/>
  <c r="AZ15" i="59"/>
  <c r="AW15" i="59"/>
  <c r="AT16" i="59"/>
  <c r="AV16" i="59"/>
  <c r="AS17" i="59"/>
  <c r="AX16" i="59"/>
  <c r="AY16" i="59"/>
  <c r="AZ16" i="59"/>
  <c r="AW16" i="59"/>
  <c r="AT17" i="59"/>
  <c r="AV17" i="59"/>
  <c r="AS18" i="59"/>
  <c r="AX17" i="59"/>
  <c r="AY17" i="59"/>
  <c r="AZ17" i="59"/>
  <c r="AW17" i="59"/>
  <c r="AT18" i="59"/>
  <c r="AV18" i="59"/>
  <c r="AS19" i="59"/>
  <c r="AX18" i="59"/>
  <c r="AY18" i="59"/>
  <c r="AZ18" i="59"/>
  <c r="AW18" i="59"/>
  <c r="AT19" i="59"/>
  <c r="AV19" i="59"/>
  <c r="AS20" i="59"/>
  <c r="AX19" i="59"/>
  <c r="AY19" i="59"/>
  <c r="AZ19" i="59"/>
  <c r="AW19" i="59"/>
  <c r="AT20" i="59"/>
  <c r="AV20" i="59"/>
  <c r="AS21" i="59"/>
  <c r="AX20" i="59"/>
  <c r="AY20" i="59"/>
  <c r="AZ20" i="59"/>
  <c r="AW20" i="59"/>
  <c r="AT21" i="59"/>
  <c r="AV21" i="59"/>
  <c r="AS22" i="59"/>
  <c r="AX21" i="59"/>
  <c r="AY21" i="59"/>
  <c r="AZ21" i="59"/>
  <c r="AW21" i="59"/>
  <c r="AT22" i="59"/>
  <c r="AV22" i="59"/>
  <c r="AS23" i="59"/>
  <c r="AX22" i="59"/>
  <c r="AY22" i="59"/>
  <c r="AZ22" i="59"/>
  <c r="AW22" i="59"/>
  <c r="AT23" i="59"/>
  <c r="AV23" i="59"/>
  <c r="AS24" i="59"/>
  <c r="AX23" i="59"/>
  <c r="AY23" i="59"/>
  <c r="AZ23" i="59"/>
  <c r="AW23" i="59"/>
  <c r="AT24" i="59"/>
  <c r="AV24" i="59"/>
  <c r="AW24" i="59"/>
  <c r="AS25" i="59"/>
  <c r="AX24" i="59"/>
  <c r="AY24" i="59"/>
  <c r="AZ24" i="59"/>
  <c r="AZ25" i="59"/>
  <c r="AS26" i="59"/>
  <c r="AZ26" i="59"/>
  <c r="AS27" i="59"/>
  <c r="AZ27" i="59"/>
  <c r="AS28" i="59"/>
  <c r="AZ28" i="59"/>
  <c r="AS29" i="59"/>
  <c r="AZ29" i="59"/>
  <c r="AS30" i="59"/>
  <c r="AZ30" i="59"/>
  <c r="AS33" i="59"/>
  <c r="AZ33" i="59"/>
  <c r="AS35" i="59"/>
  <c r="AZ35" i="59"/>
  <c r="AS36" i="59"/>
  <c r="AZ36" i="59"/>
  <c r="AS37" i="59"/>
  <c r="AZ37" i="59"/>
  <c r="AS38" i="59"/>
  <c r="AZ38" i="59"/>
  <c r="AS39" i="59"/>
  <c r="AZ39" i="59"/>
  <c r="AS40" i="59"/>
  <c r="AZ40" i="59"/>
  <c r="AS41" i="59"/>
  <c r="AZ41" i="59"/>
  <c r="AS42" i="59"/>
  <c r="AZ42" i="59"/>
  <c r="AS43" i="59"/>
  <c r="AZ43" i="59"/>
  <c r="AS44" i="59"/>
  <c r="AZ44" i="59"/>
  <c r="AS45" i="59"/>
  <c r="AZ45" i="59"/>
  <c r="AS46" i="59"/>
  <c r="AZ46" i="59"/>
  <c r="AS47" i="59"/>
  <c r="AZ47" i="59"/>
  <c r="AS48" i="59"/>
  <c r="AZ48" i="59"/>
  <c r="AS49" i="59"/>
  <c r="AZ49" i="59"/>
  <c r="AS50" i="59"/>
  <c r="AZ50" i="59"/>
  <c r="AS51" i="59"/>
  <c r="AZ51" i="59"/>
  <c r="AS52" i="59"/>
  <c r="AZ52" i="59"/>
  <c r="AS53" i="59"/>
  <c r="AZ53" i="59"/>
  <c r="AS54" i="59"/>
  <c r="AZ54" i="59"/>
  <c r="AS55" i="59"/>
  <c r="AZ55" i="59"/>
  <c r="AS56" i="59"/>
  <c r="AZ56" i="59"/>
  <c r="AS57" i="59"/>
  <c r="AZ57" i="59"/>
  <c r="AS58" i="59"/>
  <c r="AZ58" i="59"/>
  <c r="AS59" i="59"/>
  <c r="AZ59" i="59"/>
  <c r="AS60" i="59"/>
  <c r="AZ60" i="59"/>
  <c r="AS61" i="59"/>
  <c r="AZ61" i="59"/>
  <c r="AS62" i="59"/>
  <c r="AZ62" i="59"/>
  <c r="AS63" i="59"/>
  <c r="AZ63" i="59"/>
  <c r="AS64" i="59"/>
  <c r="AZ64" i="59"/>
  <c r="AS65" i="59"/>
  <c r="AZ65" i="59"/>
  <c r="AS66" i="59"/>
  <c r="AZ66" i="59"/>
  <c r="AS67" i="59"/>
  <c r="AZ67" i="59"/>
  <c r="AS68" i="59"/>
  <c r="AZ68" i="59"/>
  <c r="AS69" i="59"/>
  <c r="AZ69" i="59"/>
  <c r="AS70" i="59"/>
  <c r="AZ70" i="59"/>
  <c r="AS71" i="59"/>
  <c r="AZ71" i="59"/>
  <c r="AS72" i="59"/>
  <c r="AZ72" i="59"/>
  <c r="AS73" i="59"/>
  <c r="AZ73" i="59"/>
  <c r="AS74" i="59"/>
  <c r="AZ74" i="59"/>
  <c r="AS75" i="59"/>
  <c r="AZ75" i="59"/>
  <c r="AS76" i="59"/>
  <c r="AZ76" i="59"/>
  <c r="AS77" i="59"/>
  <c r="AZ77" i="59"/>
  <c r="AS78" i="59"/>
  <c r="AZ78" i="59"/>
  <c r="AS79" i="59"/>
  <c r="AZ79" i="59"/>
  <c r="AS80" i="59"/>
  <c r="AZ80" i="59"/>
  <c r="AS81" i="59"/>
  <c r="AZ81" i="59"/>
  <c r="AS82" i="59"/>
  <c r="AZ82" i="59"/>
  <c r="AS83" i="59"/>
  <c r="AZ83" i="59"/>
  <c r="AS84" i="59"/>
  <c r="AZ84" i="59"/>
  <c r="AS85" i="59"/>
  <c r="AZ85" i="59"/>
  <c r="AS86" i="59"/>
  <c r="AZ86" i="59"/>
  <c r="AS87" i="59"/>
  <c r="AZ87" i="59"/>
  <c r="AS88" i="59"/>
  <c r="AZ88" i="59"/>
  <c r="AS89" i="59"/>
  <c r="AZ89" i="59"/>
  <c r="AS90" i="59"/>
  <c r="AZ90" i="59"/>
  <c r="AS91" i="59"/>
  <c r="AZ91" i="59"/>
  <c r="AS92" i="59"/>
  <c r="AZ92" i="59"/>
  <c r="AS93" i="59"/>
  <c r="AZ93" i="59"/>
  <c r="AS94" i="59"/>
  <c r="AZ94" i="59"/>
  <c r="AS95" i="59"/>
  <c r="AZ95" i="59"/>
  <c r="AS96" i="59"/>
  <c r="AZ96" i="59"/>
  <c r="AS97" i="59"/>
  <c r="AZ97" i="59"/>
  <c r="AS98" i="59"/>
  <c r="AZ98" i="59"/>
  <c r="AS99" i="59"/>
  <c r="AZ99" i="59"/>
  <c r="AS100" i="59"/>
  <c r="AZ100" i="59"/>
  <c r="AS101" i="59"/>
  <c r="AZ101" i="59"/>
  <c r="AS102" i="59"/>
  <c r="AZ102" i="59"/>
  <c r="AS103" i="59"/>
  <c r="AZ103" i="59"/>
  <c r="AS104" i="59"/>
  <c r="AZ104" i="59"/>
  <c r="AS105" i="59"/>
  <c r="AZ105" i="59"/>
  <c r="AS106" i="59"/>
  <c r="AZ106" i="59"/>
  <c r="AS107" i="59"/>
  <c r="AZ107" i="59"/>
  <c r="AS108" i="59"/>
  <c r="AZ108" i="59"/>
  <c r="AS109" i="59"/>
  <c r="AZ109" i="59"/>
  <c r="AS110" i="59"/>
  <c r="AZ110" i="59"/>
  <c r="AS111" i="59"/>
  <c r="AZ111" i="59"/>
  <c r="AS112" i="59"/>
  <c r="AZ112" i="59"/>
  <c r="AS113" i="59"/>
  <c r="AZ113" i="59"/>
  <c r="AS114" i="59"/>
  <c r="AZ114" i="59"/>
  <c r="BA5" i="59"/>
  <c r="R14" i="59"/>
  <c r="AX4" i="59"/>
  <c r="AY4" i="59"/>
  <c r="AZ4" i="59"/>
  <c r="S14" i="59"/>
  <c r="T14" i="59"/>
  <c r="V14" i="59"/>
  <c r="I24" i="59"/>
  <c r="I25" i="59"/>
  <c r="V9" i="59"/>
  <c r="I31" i="59"/>
  <c r="V10" i="59"/>
  <c r="I32" i="59"/>
  <c r="AB8" i="59"/>
  <c r="AB15" i="59"/>
  <c r="W16" i="59"/>
  <c r="W17" i="59"/>
  <c r="G29" i="59"/>
  <c r="I34" i="59"/>
  <c r="L41" i="59"/>
  <c r="AT114" i="59"/>
  <c r="AV114" i="59"/>
  <c r="AW114" i="59"/>
  <c r="AX114" i="59"/>
  <c r="AY114" i="59"/>
  <c r="AT113" i="59"/>
  <c r="AV113" i="59"/>
  <c r="AW113" i="59"/>
  <c r="AX113" i="59"/>
  <c r="AY113" i="59"/>
  <c r="AT112" i="59"/>
  <c r="AV112" i="59"/>
  <c r="AW112" i="59"/>
  <c r="AX112" i="59"/>
  <c r="AY112" i="59"/>
  <c r="AT111" i="59"/>
  <c r="AV111" i="59"/>
  <c r="AW111" i="59"/>
  <c r="AX111" i="59"/>
  <c r="AY111" i="59"/>
  <c r="AT110" i="59"/>
  <c r="AV110" i="59"/>
  <c r="AW110" i="59"/>
  <c r="AX110" i="59"/>
  <c r="AY110" i="59"/>
  <c r="AT109" i="59"/>
  <c r="AV109" i="59"/>
  <c r="AW109" i="59"/>
  <c r="AX109" i="59"/>
  <c r="AY109" i="59"/>
  <c r="AT108" i="59"/>
  <c r="AV108" i="59"/>
  <c r="AW108" i="59"/>
  <c r="AX108" i="59"/>
  <c r="AY108" i="59"/>
  <c r="AT107" i="59"/>
  <c r="AV107" i="59"/>
  <c r="AW107" i="59"/>
  <c r="AX107" i="59"/>
  <c r="AY107" i="59"/>
  <c r="AT106" i="59"/>
  <c r="AV106" i="59"/>
  <c r="AW106" i="59"/>
  <c r="AX106" i="59"/>
  <c r="AY106" i="59"/>
  <c r="AT105" i="59"/>
  <c r="AV105" i="59"/>
  <c r="AW105" i="59"/>
  <c r="AX105" i="59"/>
  <c r="AY105" i="59"/>
  <c r="AT104" i="59"/>
  <c r="AV104" i="59"/>
  <c r="AW104" i="59"/>
  <c r="AX104" i="59"/>
  <c r="AY104" i="59"/>
  <c r="AT103" i="59"/>
  <c r="AV103" i="59"/>
  <c r="AW103" i="59"/>
  <c r="AX103" i="59"/>
  <c r="AY103" i="59"/>
  <c r="AT102" i="59"/>
  <c r="AV102" i="59"/>
  <c r="AW102" i="59"/>
  <c r="AX102" i="59"/>
  <c r="AY102" i="59"/>
  <c r="AT101" i="59"/>
  <c r="AV101" i="59"/>
  <c r="AW101" i="59"/>
  <c r="AX101" i="59"/>
  <c r="AY101" i="59"/>
  <c r="AT100" i="59"/>
  <c r="AV100" i="59"/>
  <c r="AW100" i="59"/>
  <c r="AX100" i="59"/>
  <c r="AY100" i="59"/>
  <c r="AT99" i="59"/>
  <c r="AV99" i="59"/>
  <c r="AW99" i="59"/>
  <c r="AX99" i="59"/>
  <c r="AY99" i="59"/>
  <c r="AT98" i="59"/>
  <c r="AV98" i="59"/>
  <c r="AW98" i="59"/>
  <c r="AX98" i="59"/>
  <c r="AY98" i="59"/>
  <c r="AT97" i="59"/>
  <c r="AV97" i="59"/>
  <c r="AW97" i="59"/>
  <c r="AX97" i="59"/>
  <c r="AY97" i="59"/>
  <c r="AT96" i="59"/>
  <c r="AV96" i="59"/>
  <c r="AW96" i="59"/>
  <c r="AX96" i="59"/>
  <c r="AY96" i="59"/>
  <c r="AT95" i="59"/>
  <c r="AV95" i="59"/>
  <c r="AW95" i="59"/>
  <c r="AX95" i="59"/>
  <c r="AY95" i="59"/>
  <c r="AT94" i="59"/>
  <c r="AV94" i="59"/>
  <c r="AW94" i="59"/>
  <c r="AX94" i="59"/>
  <c r="AY94" i="59"/>
  <c r="AT93" i="59"/>
  <c r="AV93" i="59"/>
  <c r="AW93" i="59"/>
  <c r="AX93" i="59"/>
  <c r="AY93" i="59"/>
  <c r="AT92" i="59"/>
  <c r="AV92" i="59"/>
  <c r="AW92" i="59"/>
  <c r="AX92" i="59"/>
  <c r="AY92" i="59"/>
  <c r="AT91" i="59"/>
  <c r="AV91" i="59"/>
  <c r="AW91" i="59"/>
  <c r="AX91" i="59"/>
  <c r="AY91" i="59"/>
  <c r="AT90" i="59"/>
  <c r="AV90" i="59"/>
  <c r="AW90" i="59"/>
  <c r="AX90" i="59"/>
  <c r="AY90" i="59"/>
  <c r="AT89" i="59"/>
  <c r="AV89" i="59"/>
  <c r="AW89" i="59"/>
  <c r="AX89" i="59"/>
  <c r="AY89" i="59"/>
  <c r="AT88" i="59"/>
  <c r="AV88" i="59"/>
  <c r="AW88" i="59"/>
  <c r="AX88" i="59"/>
  <c r="AY88" i="59"/>
  <c r="AT87" i="59"/>
  <c r="AV87" i="59"/>
  <c r="AW87" i="59"/>
  <c r="AX87" i="59"/>
  <c r="AY87" i="59"/>
  <c r="AT86" i="59"/>
  <c r="AV86" i="59"/>
  <c r="AW86" i="59"/>
  <c r="AX86" i="59"/>
  <c r="AY86" i="59"/>
  <c r="AT85" i="59"/>
  <c r="AV85" i="59"/>
  <c r="AW85" i="59"/>
  <c r="AX85" i="59"/>
  <c r="AY85" i="59"/>
  <c r="AT84" i="59"/>
  <c r="AV84" i="59"/>
  <c r="AW84" i="59"/>
  <c r="AX84" i="59"/>
  <c r="AY84" i="59"/>
  <c r="AT83" i="59"/>
  <c r="AV83" i="59"/>
  <c r="AW83" i="59"/>
  <c r="AX83" i="59"/>
  <c r="AY83" i="59"/>
  <c r="AT82" i="59"/>
  <c r="AV82" i="59"/>
  <c r="AW82" i="59"/>
  <c r="AX82" i="59"/>
  <c r="AY82" i="59"/>
  <c r="AT81" i="59"/>
  <c r="AV81" i="59"/>
  <c r="AW81" i="59"/>
  <c r="AX81" i="59"/>
  <c r="AY81" i="59"/>
  <c r="AT80" i="59"/>
  <c r="AV80" i="59"/>
  <c r="AW80" i="59"/>
  <c r="AX80" i="59"/>
  <c r="AY80" i="59"/>
  <c r="AT79" i="59"/>
  <c r="AV79" i="59"/>
  <c r="AW79" i="59"/>
  <c r="AX79" i="59"/>
  <c r="AY79" i="59"/>
  <c r="AT78" i="59"/>
  <c r="AV78" i="59"/>
  <c r="AW78" i="59"/>
  <c r="AX78" i="59"/>
  <c r="AY78" i="59"/>
  <c r="AT77" i="59"/>
  <c r="AV77" i="59"/>
  <c r="AW77" i="59"/>
  <c r="AX77" i="59"/>
  <c r="AY77" i="59"/>
  <c r="AT76" i="59"/>
  <c r="AV76" i="59"/>
  <c r="AW76" i="59"/>
  <c r="AX76" i="59"/>
  <c r="AY76" i="59"/>
  <c r="AT75" i="59"/>
  <c r="AV75" i="59"/>
  <c r="AW75" i="59"/>
  <c r="AX75" i="59"/>
  <c r="AY75" i="59"/>
  <c r="AT74" i="59"/>
  <c r="AV74" i="59"/>
  <c r="AW74" i="59"/>
  <c r="AX74" i="59"/>
  <c r="AY74" i="59"/>
  <c r="AT73" i="59"/>
  <c r="AV73" i="59"/>
  <c r="AW73" i="59"/>
  <c r="AX73" i="59"/>
  <c r="AY73" i="59"/>
  <c r="AT72" i="59"/>
  <c r="AV72" i="59"/>
  <c r="AW72" i="59"/>
  <c r="AX72" i="59"/>
  <c r="AY72" i="59"/>
  <c r="AT71" i="59"/>
  <c r="AV71" i="59"/>
  <c r="AW71" i="59"/>
  <c r="AX71" i="59"/>
  <c r="AY71" i="59"/>
  <c r="AT70" i="59"/>
  <c r="AV70" i="59"/>
  <c r="AW70" i="59"/>
  <c r="AX70" i="59"/>
  <c r="AY70" i="59"/>
  <c r="AT69" i="59"/>
  <c r="AV69" i="59"/>
  <c r="AW69" i="59"/>
  <c r="AX69" i="59"/>
  <c r="AY69" i="59"/>
  <c r="AT68" i="59"/>
  <c r="AV68" i="59"/>
  <c r="AW68" i="59"/>
  <c r="AX68" i="59"/>
  <c r="AY68" i="59"/>
  <c r="AT67" i="59"/>
  <c r="AV67" i="59"/>
  <c r="AW67" i="59"/>
  <c r="AX67" i="59"/>
  <c r="AY67" i="59"/>
  <c r="AT66" i="59"/>
  <c r="AV66" i="59"/>
  <c r="AW66" i="59"/>
  <c r="AX66" i="59"/>
  <c r="AY66" i="59"/>
  <c r="AT65" i="59"/>
  <c r="AV65" i="59"/>
  <c r="AW65" i="59"/>
  <c r="AX65" i="59"/>
  <c r="AY65" i="59"/>
  <c r="AT64" i="59"/>
  <c r="AV64" i="59"/>
  <c r="AW64" i="59"/>
  <c r="AX64" i="59"/>
  <c r="AY64" i="59"/>
  <c r="AT63" i="59"/>
  <c r="AV63" i="59"/>
  <c r="AW63" i="59"/>
  <c r="AX63" i="59"/>
  <c r="AY63" i="59"/>
  <c r="AT62" i="59"/>
  <c r="AV62" i="59"/>
  <c r="AW62" i="59"/>
  <c r="AX62" i="59"/>
  <c r="AY62" i="59"/>
  <c r="AT61" i="59"/>
  <c r="AV61" i="59"/>
  <c r="AW61" i="59"/>
  <c r="AX61" i="59"/>
  <c r="AY61" i="59"/>
  <c r="AT60" i="59"/>
  <c r="AV60" i="59"/>
  <c r="AW60" i="59"/>
  <c r="AX60" i="59"/>
  <c r="AY60" i="59"/>
  <c r="AT59" i="59"/>
  <c r="AV59" i="59"/>
  <c r="AW59" i="59"/>
  <c r="AX59" i="59"/>
  <c r="AY59" i="59"/>
  <c r="AT58" i="59"/>
  <c r="AV58" i="59"/>
  <c r="AW58" i="59"/>
  <c r="AX58" i="59"/>
  <c r="AY58" i="59"/>
  <c r="AT57" i="59"/>
  <c r="AV57" i="59"/>
  <c r="AW57" i="59"/>
  <c r="AX57" i="59"/>
  <c r="AY57" i="59"/>
  <c r="AT56" i="59"/>
  <c r="AV56" i="59"/>
  <c r="AW56" i="59"/>
  <c r="AX56" i="59"/>
  <c r="AY56" i="59"/>
  <c r="AT55" i="59"/>
  <c r="AV55" i="59"/>
  <c r="AW55" i="59"/>
  <c r="AX55" i="59"/>
  <c r="AY55" i="59"/>
  <c r="AT54" i="59"/>
  <c r="AV54" i="59"/>
  <c r="AW54" i="59"/>
  <c r="AX54" i="59"/>
  <c r="AY54" i="59"/>
  <c r="AT53" i="59"/>
  <c r="AV53" i="59"/>
  <c r="AW53" i="59"/>
  <c r="AX53" i="59"/>
  <c r="AY53" i="59"/>
  <c r="AT52" i="59"/>
  <c r="AV52" i="59"/>
  <c r="AW52" i="59"/>
  <c r="AX52" i="59"/>
  <c r="AY52" i="59"/>
  <c r="AT51" i="59"/>
  <c r="AV51" i="59"/>
  <c r="AW51" i="59"/>
  <c r="AX51" i="59"/>
  <c r="AY51" i="59"/>
  <c r="AT50" i="59"/>
  <c r="AV50" i="59"/>
  <c r="AW50" i="59"/>
  <c r="AX50" i="59"/>
  <c r="AY50" i="59"/>
  <c r="AT49" i="59"/>
  <c r="AV49" i="59"/>
  <c r="AW49" i="59"/>
  <c r="AX49" i="59"/>
  <c r="AY49" i="59"/>
  <c r="AT48" i="59"/>
  <c r="AV48" i="59"/>
  <c r="AW48" i="59"/>
  <c r="AX48" i="59"/>
  <c r="AY48" i="59"/>
  <c r="AT47" i="59"/>
  <c r="AV47" i="59"/>
  <c r="AW47" i="59"/>
  <c r="AX47" i="59"/>
  <c r="AY47" i="59"/>
  <c r="AT46" i="59"/>
  <c r="AV46" i="59"/>
  <c r="AW46" i="59"/>
  <c r="AX46" i="59"/>
  <c r="AY46" i="59"/>
  <c r="AT45" i="59"/>
  <c r="AV45" i="59"/>
  <c r="AW45" i="59"/>
  <c r="AX45" i="59"/>
  <c r="AY45" i="59"/>
  <c r="AT44" i="59"/>
  <c r="AV44" i="59"/>
  <c r="AW44" i="59"/>
  <c r="AX44" i="59"/>
  <c r="AY44" i="59"/>
  <c r="AT43" i="59"/>
  <c r="AV43" i="59"/>
  <c r="AW43" i="59"/>
  <c r="AX43" i="59"/>
  <c r="AY43" i="59"/>
  <c r="AT42" i="59"/>
  <c r="AV42" i="59"/>
  <c r="AW42" i="59"/>
  <c r="AX42" i="59"/>
  <c r="AY42" i="59"/>
  <c r="AT41" i="59"/>
  <c r="AV41" i="59"/>
  <c r="AW41" i="59"/>
  <c r="AX41" i="59"/>
  <c r="AY41" i="59"/>
  <c r="AT40" i="59"/>
  <c r="AV40" i="59"/>
  <c r="AW40" i="59"/>
  <c r="AX40" i="59"/>
  <c r="AY40" i="59"/>
  <c r="AT39" i="59"/>
  <c r="AV39" i="59"/>
  <c r="AW39" i="59"/>
  <c r="AX39" i="59"/>
  <c r="AY39" i="59"/>
  <c r="AT38" i="59"/>
  <c r="AV38" i="59"/>
  <c r="AW38" i="59"/>
  <c r="AX38" i="59"/>
  <c r="AY38" i="59"/>
  <c r="AT37" i="59"/>
  <c r="AV37" i="59"/>
  <c r="AW37" i="59"/>
  <c r="AX37" i="59"/>
  <c r="AY37" i="59"/>
  <c r="O37" i="59"/>
  <c r="H37" i="59"/>
  <c r="AT36" i="59"/>
  <c r="AV36" i="59"/>
  <c r="AW36" i="59"/>
  <c r="AX36" i="59"/>
  <c r="AY36" i="59"/>
  <c r="AT35" i="59"/>
  <c r="AV35" i="59"/>
  <c r="AW35" i="59"/>
  <c r="AX35" i="59"/>
  <c r="AY35" i="59"/>
  <c r="AT33" i="59"/>
  <c r="AV33" i="59"/>
  <c r="AW33" i="59"/>
  <c r="AX33" i="59"/>
  <c r="AY33" i="59"/>
  <c r="W33" i="59"/>
  <c r="AT30" i="59"/>
  <c r="AV30" i="59"/>
  <c r="AW30" i="59"/>
  <c r="AX30" i="59"/>
  <c r="AY30" i="59"/>
  <c r="AT29" i="59"/>
  <c r="AV29" i="59"/>
  <c r="AW29" i="59"/>
  <c r="AX29" i="59"/>
  <c r="AY29" i="59"/>
  <c r="AT28" i="59"/>
  <c r="AV28" i="59"/>
  <c r="AW28" i="59"/>
  <c r="AX28" i="59"/>
  <c r="AY28" i="59"/>
  <c r="G28" i="59"/>
  <c r="AT27" i="59"/>
  <c r="AV27" i="59"/>
  <c r="AW27" i="59"/>
  <c r="AX27" i="59"/>
  <c r="AY27" i="59"/>
  <c r="G27" i="59"/>
  <c r="AT26" i="59"/>
  <c r="AV26" i="59"/>
  <c r="AW26" i="59"/>
  <c r="AX26" i="59"/>
  <c r="AY26" i="59"/>
  <c r="AT25" i="59"/>
  <c r="AV25" i="59"/>
  <c r="AW25" i="59"/>
  <c r="AX25" i="59"/>
  <c r="AY25" i="59"/>
  <c r="W19" i="59"/>
  <c r="T19" i="59"/>
  <c r="S19" i="59"/>
  <c r="T17" i="59"/>
  <c r="S17" i="59"/>
  <c r="T16" i="59"/>
  <c r="S16" i="59"/>
  <c r="AE6" i="59"/>
  <c r="AE8" i="59"/>
  <c r="BB5" i="59"/>
  <c r="D50" i="2"/>
  <c r="S37" i="59"/>
  <c r="D49" i="2"/>
  <c r="R37" i="59"/>
  <c r="T11" i="59"/>
  <c r="V11" i="59"/>
  <c r="I33" i="59"/>
  <c r="W18" i="59"/>
  <c r="S23" i="59"/>
  <c r="S26" i="59"/>
  <c r="S31" i="59"/>
  <c r="W31" i="59"/>
  <c r="S25" i="59"/>
  <c r="S30" i="59"/>
  <c r="W30" i="59"/>
  <c r="S24" i="59"/>
  <c r="S29" i="59"/>
  <c r="W29" i="59"/>
  <c r="S27" i="59"/>
  <c r="W27" i="59"/>
  <c r="W26" i="59"/>
  <c r="W25" i="59"/>
  <c r="W24" i="59"/>
  <c r="V19" i="59"/>
  <c r="V18" i="59"/>
  <c r="T18" i="59"/>
  <c r="S18" i="59"/>
  <c r="V17" i="59"/>
  <c r="V16" i="59"/>
  <c r="U11" i="59"/>
  <c r="D37" i="57"/>
  <c r="R5" i="57"/>
  <c r="S5" i="57"/>
  <c r="G37" i="57"/>
  <c r="T5" i="57"/>
  <c r="U37" i="57"/>
  <c r="AB6" i="57"/>
  <c r="AB13" i="57"/>
  <c r="V5" i="57"/>
  <c r="S9" i="57"/>
  <c r="T9" i="57"/>
  <c r="I21" i="57"/>
  <c r="AB7" i="57"/>
  <c r="AB14" i="57"/>
  <c r="S10" i="57"/>
  <c r="T10" i="57"/>
  <c r="I22" i="57"/>
  <c r="W37" i="57"/>
  <c r="V37" i="57"/>
  <c r="R6" i="57"/>
  <c r="S6" i="57"/>
  <c r="T6" i="57"/>
  <c r="S12" i="57"/>
  <c r="T12" i="57"/>
  <c r="I23" i="57"/>
  <c r="Q37" i="57"/>
  <c r="AT4" i="57"/>
  <c r="AU4" i="57"/>
  <c r="AT5" i="57"/>
  <c r="AV5" i="57"/>
  <c r="AS5" i="57"/>
  <c r="AS6" i="57"/>
  <c r="AX5" i="57"/>
  <c r="J37" i="57"/>
  <c r="AY5" i="57"/>
  <c r="AZ5" i="57"/>
  <c r="AW5" i="57"/>
  <c r="AT6" i="57"/>
  <c r="AV6" i="57"/>
  <c r="AS7" i="57"/>
  <c r="AX6" i="57"/>
  <c r="AY6" i="57"/>
  <c r="AZ6" i="57"/>
  <c r="AW6" i="57"/>
  <c r="AT7" i="57"/>
  <c r="AV7" i="57"/>
  <c r="AS8" i="57"/>
  <c r="AX7" i="57"/>
  <c r="AY7" i="57"/>
  <c r="AZ7" i="57"/>
  <c r="AW7" i="57"/>
  <c r="AT8" i="57"/>
  <c r="AV8" i="57"/>
  <c r="AS9" i="57"/>
  <c r="AX8" i="57"/>
  <c r="AY8" i="57"/>
  <c r="AZ8" i="57"/>
  <c r="AW8" i="57"/>
  <c r="AT9" i="57"/>
  <c r="AV9" i="57"/>
  <c r="AS10" i="57"/>
  <c r="AX9" i="57"/>
  <c r="AY9" i="57"/>
  <c r="AZ9" i="57"/>
  <c r="AW9" i="57"/>
  <c r="AT10" i="57"/>
  <c r="AV10" i="57"/>
  <c r="AS11" i="57"/>
  <c r="AX10" i="57"/>
  <c r="AY10" i="57"/>
  <c r="AZ10" i="57"/>
  <c r="AW10" i="57"/>
  <c r="AT11" i="57"/>
  <c r="AV11" i="57"/>
  <c r="AS12" i="57"/>
  <c r="AX11" i="57"/>
  <c r="AY11" i="57"/>
  <c r="AZ11" i="57"/>
  <c r="AW11" i="57"/>
  <c r="AT12" i="57"/>
  <c r="AV12" i="57"/>
  <c r="AS13" i="57"/>
  <c r="AX12" i="57"/>
  <c r="AY12" i="57"/>
  <c r="AZ12" i="57"/>
  <c r="AW12" i="57"/>
  <c r="AT13" i="57"/>
  <c r="AV13" i="57"/>
  <c r="AS14" i="57"/>
  <c r="AX13" i="57"/>
  <c r="AY13" i="57"/>
  <c r="AZ13" i="57"/>
  <c r="AW13" i="57"/>
  <c r="AT14" i="57"/>
  <c r="AV14" i="57"/>
  <c r="AS15" i="57"/>
  <c r="AX14" i="57"/>
  <c r="AY14" i="57"/>
  <c r="AZ14" i="57"/>
  <c r="AW14" i="57"/>
  <c r="AT15" i="57"/>
  <c r="AV15" i="57"/>
  <c r="AS16" i="57"/>
  <c r="AX15" i="57"/>
  <c r="AY15" i="57"/>
  <c r="AZ15" i="57"/>
  <c r="AW15" i="57"/>
  <c r="AT16" i="57"/>
  <c r="AV16" i="57"/>
  <c r="AS17" i="57"/>
  <c r="AX16" i="57"/>
  <c r="AY16" i="57"/>
  <c r="AZ16" i="57"/>
  <c r="AW16" i="57"/>
  <c r="AT17" i="57"/>
  <c r="AV17" i="57"/>
  <c r="AS18" i="57"/>
  <c r="AX17" i="57"/>
  <c r="AY17" i="57"/>
  <c r="AZ17" i="57"/>
  <c r="AW17" i="57"/>
  <c r="AT18" i="57"/>
  <c r="AV18" i="57"/>
  <c r="AS19" i="57"/>
  <c r="AX18" i="57"/>
  <c r="AY18" i="57"/>
  <c r="AZ18" i="57"/>
  <c r="AW18" i="57"/>
  <c r="AT19" i="57"/>
  <c r="AV19" i="57"/>
  <c r="AS20" i="57"/>
  <c r="AX19" i="57"/>
  <c r="AY19" i="57"/>
  <c r="AZ19" i="57"/>
  <c r="AW19" i="57"/>
  <c r="AT20" i="57"/>
  <c r="AV20" i="57"/>
  <c r="AS21" i="57"/>
  <c r="AX20" i="57"/>
  <c r="AY20" i="57"/>
  <c r="AZ20" i="57"/>
  <c r="AW20" i="57"/>
  <c r="AT21" i="57"/>
  <c r="AV21" i="57"/>
  <c r="AS22" i="57"/>
  <c r="AX21" i="57"/>
  <c r="AY21" i="57"/>
  <c r="AZ21" i="57"/>
  <c r="AW21" i="57"/>
  <c r="AT22" i="57"/>
  <c r="AV22" i="57"/>
  <c r="AS23" i="57"/>
  <c r="AX22" i="57"/>
  <c r="AY22" i="57"/>
  <c r="AZ22" i="57"/>
  <c r="AW22" i="57"/>
  <c r="AT23" i="57"/>
  <c r="AV23" i="57"/>
  <c r="AS24" i="57"/>
  <c r="AX23" i="57"/>
  <c r="AY23" i="57"/>
  <c r="AZ23" i="57"/>
  <c r="AW23" i="57"/>
  <c r="AT24" i="57"/>
  <c r="AV24" i="57"/>
  <c r="AW24" i="57"/>
  <c r="AS25" i="57"/>
  <c r="AX24" i="57"/>
  <c r="AY24" i="57"/>
  <c r="AZ24" i="57"/>
  <c r="AZ25" i="57"/>
  <c r="AS26" i="57"/>
  <c r="AZ26" i="57"/>
  <c r="AS27" i="57"/>
  <c r="AZ27" i="57"/>
  <c r="AS28" i="57"/>
  <c r="AZ28" i="57"/>
  <c r="AS29" i="57"/>
  <c r="AZ29" i="57"/>
  <c r="AS30" i="57"/>
  <c r="AZ30" i="57"/>
  <c r="AS33" i="57"/>
  <c r="AZ33" i="57"/>
  <c r="AS35" i="57"/>
  <c r="AZ35" i="57"/>
  <c r="AS36" i="57"/>
  <c r="AZ36" i="57"/>
  <c r="AS37" i="57"/>
  <c r="AZ37" i="57"/>
  <c r="AS38" i="57"/>
  <c r="AZ38" i="57"/>
  <c r="AS39" i="57"/>
  <c r="AZ39" i="57"/>
  <c r="AS40" i="57"/>
  <c r="AZ40" i="57"/>
  <c r="AS41" i="57"/>
  <c r="AZ41" i="57"/>
  <c r="AS42" i="57"/>
  <c r="AZ42" i="57"/>
  <c r="AS43" i="57"/>
  <c r="AZ43" i="57"/>
  <c r="AS44" i="57"/>
  <c r="AZ44" i="57"/>
  <c r="AS45" i="57"/>
  <c r="AZ45" i="57"/>
  <c r="AS46" i="57"/>
  <c r="AZ46" i="57"/>
  <c r="AS47" i="57"/>
  <c r="AZ47" i="57"/>
  <c r="AS48" i="57"/>
  <c r="AZ48" i="57"/>
  <c r="AS49" i="57"/>
  <c r="AZ49" i="57"/>
  <c r="AS50" i="57"/>
  <c r="AZ50" i="57"/>
  <c r="AS51" i="57"/>
  <c r="AZ51" i="57"/>
  <c r="AS52" i="57"/>
  <c r="AZ52" i="57"/>
  <c r="AS53" i="57"/>
  <c r="AZ53" i="57"/>
  <c r="AS54" i="57"/>
  <c r="AZ54" i="57"/>
  <c r="AS55" i="57"/>
  <c r="AZ55" i="57"/>
  <c r="AS56" i="57"/>
  <c r="AZ56" i="57"/>
  <c r="AS57" i="57"/>
  <c r="AZ57" i="57"/>
  <c r="AS58" i="57"/>
  <c r="AZ58" i="57"/>
  <c r="AS59" i="57"/>
  <c r="AZ59" i="57"/>
  <c r="AS60" i="57"/>
  <c r="AZ60" i="57"/>
  <c r="AS61" i="57"/>
  <c r="AZ61" i="57"/>
  <c r="AS62" i="57"/>
  <c r="AZ62" i="57"/>
  <c r="AS63" i="57"/>
  <c r="AZ63" i="57"/>
  <c r="AS64" i="57"/>
  <c r="AZ64" i="57"/>
  <c r="AS65" i="57"/>
  <c r="AZ65" i="57"/>
  <c r="AS66" i="57"/>
  <c r="AZ66" i="57"/>
  <c r="AS67" i="57"/>
  <c r="AZ67" i="57"/>
  <c r="AS68" i="57"/>
  <c r="AZ68" i="57"/>
  <c r="AS69" i="57"/>
  <c r="AZ69" i="57"/>
  <c r="AS70" i="57"/>
  <c r="AZ70" i="57"/>
  <c r="AS71" i="57"/>
  <c r="AZ71" i="57"/>
  <c r="AS72" i="57"/>
  <c r="AZ72" i="57"/>
  <c r="AS73" i="57"/>
  <c r="AZ73" i="57"/>
  <c r="AS74" i="57"/>
  <c r="AZ74" i="57"/>
  <c r="AS75" i="57"/>
  <c r="AZ75" i="57"/>
  <c r="AS76" i="57"/>
  <c r="AZ76" i="57"/>
  <c r="AS77" i="57"/>
  <c r="AZ77" i="57"/>
  <c r="AS78" i="57"/>
  <c r="AZ78" i="57"/>
  <c r="AS79" i="57"/>
  <c r="AZ79" i="57"/>
  <c r="AS80" i="57"/>
  <c r="AZ80" i="57"/>
  <c r="AS81" i="57"/>
  <c r="AZ81" i="57"/>
  <c r="AS82" i="57"/>
  <c r="AZ82" i="57"/>
  <c r="AS83" i="57"/>
  <c r="AZ83" i="57"/>
  <c r="AS84" i="57"/>
  <c r="AZ84" i="57"/>
  <c r="AS85" i="57"/>
  <c r="AZ85" i="57"/>
  <c r="AS86" i="57"/>
  <c r="AZ86" i="57"/>
  <c r="AS87" i="57"/>
  <c r="AZ87" i="57"/>
  <c r="AS88" i="57"/>
  <c r="AZ88" i="57"/>
  <c r="AS89" i="57"/>
  <c r="AZ89" i="57"/>
  <c r="AS90" i="57"/>
  <c r="AZ90" i="57"/>
  <c r="AS91" i="57"/>
  <c r="AZ91" i="57"/>
  <c r="AS92" i="57"/>
  <c r="AZ92" i="57"/>
  <c r="AS93" i="57"/>
  <c r="AZ93" i="57"/>
  <c r="AS94" i="57"/>
  <c r="AZ94" i="57"/>
  <c r="AS95" i="57"/>
  <c r="AZ95" i="57"/>
  <c r="AS96" i="57"/>
  <c r="AZ96" i="57"/>
  <c r="AS97" i="57"/>
  <c r="AZ97" i="57"/>
  <c r="AS98" i="57"/>
  <c r="AZ98" i="57"/>
  <c r="AS99" i="57"/>
  <c r="AZ99" i="57"/>
  <c r="AS100" i="57"/>
  <c r="AZ100" i="57"/>
  <c r="AS101" i="57"/>
  <c r="AZ101" i="57"/>
  <c r="AS102" i="57"/>
  <c r="AZ102" i="57"/>
  <c r="AS103" i="57"/>
  <c r="AZ103" i="57"/>
  <c r="AS104" i="57"/>
  <c r="AZ104" i="57"/>
  <c r="AS105" i="57"/>
  <c r="AZ105" i="57"/>
  <c r="AS106" i="57"/>
  <c r="AZ106" i="57"/>
  <c r="AS107" i="57"/>
  <c r="AZ107" i="57"/>
  <c r="AS108" i="57"/>
  <c r="AZ108" i="57"/>
  <c r="AS109" i="57"/>
  <c r="AZ109" i="57"/>
  <c r="AS110" i="57"/>
  <c r="AZ110" i="57"/>
  <c r="AS111" i="57"/>
  <c r="AZ111" i="57"/>
  <c r="AS112" i="57"/>
  <c r="AZ112" i="57"/>
  <c r="AS113" i="57"/>
  <c r="AZ113" i="57"/>
  <c r="AS114" i="57"/>
  <c r="AZ114" i="57"/>
  <c r="BA5" i="57"/>
  <c r="R14" i="57"/>
  <c r="AX4" i="57"/>
  <c r="AY4" i="57"/>
  <c r="AZ4" i="57"/>
  <c r="S14" i="57"/>
  <c r="T14" i="57"/>
  <c r="V14" i="57"/>
  <c r="I24" i="57"/>
  <c r="I25" i="57"/>
  <c r="V9" i="57"/>
  <c r="I31" i="57"/>
  <c r="V10" i="57"/>
  <c r="I32" i="57"/>
  <c r="AB8" i="57"/>
  <c r="AB15" i="57"/>
  <c r="W16" i="57"/>
  <c r="W17" i="57"/>
  <c r="G29" i="57"/>
  <c r="I34" i="57"/>
  <c r="AT114" i="57"/>
  <c r="AV114" i="57"/>
  <c r="AW114" i="57"/>
  <c r="AX114" i="57"/>
  <c r="AY114" i="57"/>
  <c r="AT113" i="57"/>
  <c r="AV113" i="57"/>
  <c r="AW113" i="57"/>
  <c r="AX113" i="57"/>
  <c r="AY113" i="57"/>
  <c r="AT112" i="57"/>
  <c r="AV112" i="57"/>
  <c r="AW112" i="57"/>
  <c r="AX112" i="57"/>
  <c r="AY112" i="57"/>
  <c r="AT111" i="57"/>
  <c r="AV111" i="57"/>
  <c r="AW111" i="57"/>
  <c r="AX111" i="57"/>
  <c r="AY111" i="57"/>
  <c r="AT110" i="57"/>
  <c r="AV110" i="57"/>
  <c r="AW110" i="57"/>
  <c r="AX110" i="57"/>
  <c r="AY110" i="57"/>
  <c r="AT109" i="57"/>
  <c r="AV109" i="57"/>
  <c r="AW109" i="57"/>
  <c r="AX109" i="57"/>
  <c r="AY109" i="57"/>
  <c r="AT108" i="57"/>
  <c r="AV108" i="57"/>
  <c r="AW108" i="57"/>
  <c r="AX108" i="57"/>
  <c r="AY108" i="57"/>
  <c r="AT107" i="57"/>
  <c r="AV107" i="57"/>
  <c r="AW107" i="57"/>
  <c r="AX107" i="57"/>
  <c r="AY107" i="57"/>
  <c r="AT106" i="57"/>
  <c r="AV106" i="57"/>
  <c r="AW106" i="57"/>
  <c r="AX106" i="57"/>
  <c r="AY106" i="57"/>
  <c r="AT105" i="57"/>
  <c r="AV105" i="57"/>
  <c r="AW105" i="57"/>
  <c r="AX105" i="57"/>
  <c r="AY105" i="57"/>
  <c r="AT104" i="57"/>
  <c r="AV104" i="57"/>
  <c r="AW104" i="57"/>
  <c r="AX104" i="57"/>
  <c r="AY104" i="57"/>
  <c r="AT103" i="57"/>
  <c r="AV103" i="57"/>
  <c r="AW103" i="57"/>
  <c r="AX103" i="57"/>
  <c r="AY103" i="57"/>
  <c r="AT102" i="57"/>
  <c r="AV102" i="57"/>
  <c r="AW102" i="57"/>
  <c r="AX102" i="57"/>
  <c r="AY102" i="57"/>
  <c r="AT101" i="57"/>
  <c r="AV101" i="57"/>
  <c r="AW101" i="57"/>
  <c r="AX101" i="57"/>
  <c r="AY101" i="57"/>
  <c r="AT100" i="57"/>
  <c r="AV100" i="57"/>
  <c r="AW100" i="57"/>
  <c r="AX100" i="57"/>
  <c r="AY100" i="57"/>
  <c r="AT99" i="57"/>
  <c r="AV99" i="57"/>
  <c r="AW99" i="57"/>
  <c r="AX99" i="57"/>
  <c r="AY99" i="57"/>
  <c r="AT98" i="57"/>
  <c r="AV98" i="57"/>
  <c r="AW98" i="57"/>
  <c r="AX98" i="57"/>
  <c r="AY98" i="57"/>
  <c r="AT97" i="57"/>
  <c r="AV97" i="57"/>
  <c r="AW97" i="57"/>
  <c r="AX97" i="57"/>
  <c r="AY97" i="57"/>
  <c r="AT96" i="57"/>
  <c r="AV96" i="57"/>
  <c r="AW96" i="57"/>
  <c r="AX96" i="57"/>
  <c r="AY96" i="57"/>
  <c r="AT95" i="57"/>
  <c r="AV95" i="57"/>
  <c r="AW95" i="57"/>
  <c r="AX95" i="57"/>
  <c r="AY95" i="57"/>
  <c r="AT94" i="57"/>
  <c r="AV94" i="57"/>
  <c r="AW94" i="57"/>
  <c r="AX94" i="57"/>
  <c r="AY94" i="57"/>
  <c r="AT93" i="57"/>
  <c r="AV93" i="57"/>
  <c r="AW93" i="57"/>
  <c r="AX93" i="57"/>
  <c r="AY93" i="57"/>
  <c r="AT92" i="57"/>
  <c r="AV92" i="57"/>
  <c r="AW92" i="57"/>
  <c r="AX92" i="57"/>
  <c r="AY92" i="57"/>
  <c r="AT91" i="57"/>
  <c r="AV91" i="57"/>
  <c r="AW91" i="57"/>
  <c r="AX91" i="57"/>
  <c r="AY91" i="57"/>
  <c r="AT90" i="57"/>
  <c r="AV90" i="57"/>
  <c r="AW90" i="57"/>
  <c r="AX90" i="57"/>
  <c r="AY90" i="57"/>
  <c r="AT89" i="57"/>
  <c r="AV89" i="57"/>
  <c r="AW89" i="57"/>
  <c r="AX89" i="57"/>
  <c r="AY89" i="57"/>
  <c r="AT88" i="57"/>
  <c r="AV88" i="57"/>
  <c r="AW88" i="57"/>
  <c r="AX88" i="57"/>
  <c r="AY88" i="57"/>
  <c r="AT87" i="57"/>
  <c r="AV87" i="57"/>
  <c r="AW87" i="57"/>
  <c r="AX87" i="57"/>
  <c r="AY87" i="57"/>
  <c r="AT86" i="57"/>
  <c r="AV86" i="57"/>
  <c r="AW86" i="57"/>
  <c r="AX86" i="57"/>
  <c r="AY86" i="57"/>
  <c r="AT85" i="57"/>
  <c r="AV85" i="57"/>
  <c r="AW85" i="57"/>
  <c r="AX85" i="57"/>
  <c r="AY85" i="57"/>
  <c r="AT84" i="57"/>
  <c r="AV84" i="57"/>
  <c r="AW84" i="57"/>
  <c r="AX84" i="57"/>
  <c r="AY84" i="57"/>
  <c r="AT83" i="57"/>
  <c r="AV83" i="57"/>
  <c r="AW83" i="57"/>
  <c r="AX83" i="57"/>
  <c r="AY83" i="57"/>
  <c r="AT82" i="57"/>
  <c r="AV82" i="57"/>
  <c r="AW82" i="57"/>
  <c r="AX82" i="57"/>
  <c r="AY82" i="57"/>
  <c r="AT81" i="57"/>
  <c r="AV81" i="57"/>
  <c r="AW81" i="57"/>
  <c r="AX81" i="57"/>
  <c r="AY81" i="57"/>
  <c r="AT80" i="57"/>
  <c r="AV80" i="57"/>
  <c r="AW80" i="57"/>
  <c r="AX80" i="57"/>
  <c r="AY80" i="57"/>
  <c r="AT79" i="57"/>
  <c r="AV79" i="57"/>
  <c r="AW79" i="57"/>
  <c r="AX79" i="57"/>
  <c r="AY79" i="57"/>
  <c r="AT78" i="57"/>
  <c r="AV78" i="57"/>
  <c r="AW78" i="57"/>
  <c r="AX78" i="57"/>
  <c r="AY78" i="57"/>
  <c r="AT77" i="57"/>
  <c r="AV77" i="57"/>
  <c r="AW77" i="57"/>
  <c r="AX77" i="57"/>
  <c r="AY77" i="57"/>
  <c r="AT76" i="57"/>
  <c r="AV76" i="57"/>
  <c r="AW76" i="57"/>
  <c r="AX76" i="57"/>
  <c r="AY76" i="57"/>
  <c r="AT75" i="57"/>
  <c r="AV75" i="57"/>
  <c r="AW75" i="57"/>
  <c r="AX75" i="57"/>
  <c r="AY75" i="57"/>
  <c r="AT74" i="57"/>
  <c r="AV74" i="57"/>
  <c r="AW74" i="57"/>
  <c r="AX74" i="57"/>
  <c r="AY74" i="57"/>
  <c r="AT73" i="57"/>
  <c r="AV73" i="57"/>
  <c r="AW73" i="57"/>
  <c r="AX73" i="57"/>
  <c r="AY73" i="57"/>
  <c r="AT72" i="57"/>
  <c r="AV72" i="57"/>
  <c r="AW72" i="57"/>
  <c r="AX72" i="57"/>
  <c r="AY72" i="57"/>
  <c r="AT71" i="57"/>
  <c r="AV71" i="57"/>
  <c r="AW71" i="57"/>
  <c r="AX71" i="57"/>
  <c r="AY71" i="57"/>
  <c r="AT70" i="57"/>
  <c r="AV70" i="57"/>
  <c r="AW70" i="57"/>
  <c r="AX70" i="57"/>
  <c r="AY70" i="57"/>
  <c r="AT69" i="57"/>
  <c r="AV69" i="57"/>
  <c r="AW69" i="57"/>
  <c r="AX69" i="57"/>
  <c r="AY69" i="57"/>
  <c r="AT68" i="57"/>
  <c r="AV68" i="57"/>
  <c r="AW68" i="57"/>
  <c r="AX68" i="57"/>
  <c r="AY68" i="57"/>
  <c r="AT67" i="57"/>
  <c r="AV67" i="57"/>
  <c r="AW67" i="57"/>
  <c r="AX67" i="57"/>
  <c r="AY67" i="57"/>
  <c r="AT66" i="57"/>
  <c r="AV66" i="57"/>
  <c r="AW66" i="57"/>
  <c r="AX66" i="57"/>
  <c r="AY66" i="57"/>
  <c r="AT65" i="57"/>
  <c r="AV65" i="57"/>
  <c r="AW65" i="57"/>
  <c r="AX65" i="57"/>
  <c r="AY65" i="57"/>
  <c r="AT64" i="57"/>
  <c r="AV64" i="57"/>
  <c r="AW64" i="57"/>
  <c r="AX64" i="57"/>
  <c r="AY64" i="57"/>
  <c r="AT63" i="57"/>
  <c r="AV63" i="57"/>
  <c r="AW63" i="57"/>
  <c r="AX63" i="57"/>
  <c r="AY63" i="57"/>
  <c r="AT62" i="57"/>
  <c r="AV62" i="57"/>
  <c r="AW62" i="57"/>
  <c r="AX62" i="57"/>
  <c r="AY62" i="57"/>
  <c r="AT61" i="57"/>
  <c r="AV61" i="57"/>
  <c r="AW61" i="57"/>
  <c r="AX61" i="57"/>
  <c r="AY61" i="57"/>
  <c r="AT60" i="57"/>
  <c r="AV60" i="57"/>
  <c r="AW60" i="57"/>
  <c r="AX60" i="57"/>
  <c r="AY60" i="57"/>
  <c r="AT59" i="57"/>
  <c r="AV59" i="57"/>
  <c r="AW59" i="57"/>
  <c r="AX59" i="57"/>
  <c r="AY59" i="57"/>
  <c r="AT58" i="57"/>
  <c r="AV58" i="57"/>
  <c r="AW58" i="57"/>
  <c r="AX58" i="57"/>
  <c r="AY58" i="57"/>
  <c r="AT57" i="57"/>
  <c r="AV57" i="57"/>
  <c r="AW57" i="57"/>
  <c r="AX57" i="57"/>
  <c r="AY57" i="57"/>
  <c r="AT56" i="57"/>
  <c r="AV56" i="57"/>
  <c r="AW56" i="57"/>
  <c r="AX56" i="57"/>
  <c r="AY56" i="57"/>
  <c r="AT55" i="57"/>
  <c r="AV55" i="57"/>
  <c r="AW55" i="57"/>
  <c r="AX55" i="57"/>
  <c r="AY55" i="57"/>
  <c r="AT54" i="57"/>
  <c r="AV54" i="57"/>
  <c r="AW54" i="57"/>
  <c r="AX54" i="57"/>
  <c r="AY54" i="57"/>
  <c r="AT53" i="57"/>
  <c r="AV53" i="57"/>
  <c r="AW53" i="57"/>
  <c r="AX53" i="57"/>
  <c r="AY53" i="57"/>
  <c r="AT52" i="57"/>
  <c r="AV52" i="57"/>
  <c r="AW52" i="57"/>
  <c r="AX52" i="57"/>
  <c r="AY52" i="57"/>
  <c r="AT51" i="57"/>
  <c r="AV51" i="57"/>
  <c r="AW51" i="57"/>
  <c r="AX51" i="57"/>
  <c r="AY51" i="57"/>
  <c r="AT50" i="57"/>
  <c r="AV50" i="57"/>
  <c r="AW50" i="57"/>
  <c r="AX50" i="57"/>
  <c r="AY50" i="57"/>
  <c r="AT49" i="57"/>
  <c r="AV49" i="57"/>
  <c r="AW49" i="57"/>
  <c r="AX49" i="57"/>
  <c r="AY49" i="57"/>
  <c r="AT48" i="57"/>
  <c r="AV48" i="57"/>
  <c r="AW48" i="57"/>
  <c r="AX48" i="57"/>
  <c r="AY48" i="57"/>
  <c r="AT47" i="57"/>
  <c r="AV47" i="57"/>
  <c r="AW47" i="57"/>
  <c r="AX47" i="57"/>
  <c r="AY47" i="57"/>
  <c r="AT46" i="57"/>
  <c r="AV46" i="57"/>
  <c r="AW46" i="57"/>
  <c r="AX46" i="57"/>
  <c r="AY46" i="57"/>
  <c r="AT45" i="57"/>
  <c r="AV45" i="57"/>
  <c r="AW45" i="57"/>
  <c r="AX45" i="57"/>
  <c r="AY45" i="57"/>
  <c r="AT44" i="57"/>
  <c r="AV44" i="57"/>
  <c r="AW44" i="57"/>
  <c r="AX44" i="57"/>
  <c r="AY44" i="57"/>
  <c r="AT43" i="57"/>
  <c r="AV43" i="57"/>
  <c r="AW43" i="57"/>
  <c r="AX43" i="57"/>
  <c r="AY43" i="57"/>
  <c r="AT42" i="57"/>
  <c r="AV42" i="57"/>
  <c r="AW42" i="57"/>
  <c r="AX42" i="57"/>
  <c r="AY42" i="57"/>
  <c r="AT41" i="57"/>
  <c r="AV41" i="57"/>
  <c r="AW41" i="57"/>
  <c r="AX41" i="57"/>
  <c r="AY41" i="57"/>
  <c r="AT40" i="57"/>
  <c r="AV40" i="57"/>
  <c r="AW40" i="57"/>
  <c r="AX40" i="57"/>
  <c r="AY40" i="57"/>
  <c r="AT39" i="57"/>
  <c r="AV39" i="57"/>
  <c r="AW39" i="57"/>
  <c r="AX39" i="57"/>
  <c r="AY39" i="57"/>
  <c r="AT38" i="57"/>
  <c r="AV38" i="57"/>
  <c r="AW38" i="57"/>
  <c r="AX38" i="57"/>
  <c r="AY38" i="57"/>
  <c r="AT37" i="57"/>
  <c r="AV37" i="57"/>
  <c r="AW37" i="57"/>
  <c r="AX37" i="57"/>
  <c r="AY37" i="57"/>
  <c r="O37" i="57"/>
  <c r="H37" i="57"/>
  <c r="AT36" i="57"/>
  <c r="AV36" i="57"/>
  <c r="AW36" i="57"/>
  <c r="AX36" i="57"/>
  <c r="AY36" i="57"/>
  <c r="AT35" i="57"/>
  <c r="AV35" i="57"/>
  <c r="AW35" i="57"/>
  <c r="AX35" i="57"/>
  <c r="AY35" i="57"/>
  <c r="AT33" i="57"/>
  <c r="AV33" i="57"/>
  <c r="AW33" i="57"/>
  <c r="AX33" i="57"/>
  <c r="AY33" i="57"/>
  <c r="W33" i="57"/>
  <c r="AT30" i="57"/>
  <c r="AV30" i="57"/>
  <c r="AW30" i="57"/>
  <c r="AX30" i="57"/>
  <c r="AY30" i="57"/>
  <c r="AT29" i="57"/>
  <c r="AV29" i="57"/>
  <c r="AW29" i="57"/>
  <c r="AX29" i="57"/>
  <c r="AY29" i="57"/>
  <c r="AT28" i="57"/>
  <c r="AV28" i="57"/>
  <c r="AW28" i="57"/>
  <c r="AX28" i="57"/>
  <c r="AY28" i="57"/>
  <c r="G28" i="57"/>
  <c r="AT27" i="57"/>
  <c r="AV27" i="57"/>
  <c r="AW27" i="57"/>
  <c r="AX27" i="57"/>
  <c r="AY27" i="57"/>
  <c r="G27" i="57"/>
  <c r="AT26" i="57"/>
  <c r="AV26" i="57"/>
  <c r="AW26" i="57"/>
  <c r="AX26" i="57"/>
  <c r="AY26" i="57"/>
  <c r="AT25" i="57"/>
  <c r="AV25" i="57"/>
  <c r="AW25" i="57"/>
  <c r="AX25" i="57"/>
  <c r="AY25" i="57"/>
  <c r="W19" i="57"/>
  <c r="T19" i="57"/>
  <c r="S19" i="57"/>
  <c r="T17" i="57"/>
  <c r="S17" i="57"/>
  <c r="T16" i="57"/>
  <c r="S16" i="57"/>
  <c r="AE6" i="57"/>
  <c r="AE8" i="57"/>
  <c r="BB5" i="57"/>
  <c r="S37" i="57"/>
  <c r="R37" i="57"/>
  <c r="T11" i="57"/>
  <c r="V11" i="57"/>
  <c r="I33" i="57"/>
  <c r="W18" i="57"/>
  <c r="S23" i="57"/>
  <c r="S26" i="57"/>
  <c r="S31" i="57"/>
  <c r="W31" i="57"/>
  <c r="S25" i="57"/>
  <c r="S30" i="57"/>
  <c r="W30" i="57"/>
  <c r="S24" i="57"/>
  <c r="S29" i="57"/>
  <c r="W29" i="57"/>
  <c r="S27" i="57"/>
  <c r="W27" i="57"/>
  <c r="W26" i="57"/>
  <c r="W25" i="57"/>
  <c r="W24" i="57"/>
  <c r="V19" i="57"/>
  <c r="V18" i="57"/>
  <c r="T18" i="57"/>
  <c r="S18" i="57"/>
  <c r="V17" i="57"/>
  <c r="V16" i="57"/>
  <c r="U11" i="57"/>
  <c r="G41" i="51"/>
  <c r="G40" i="51"/>
  <c r="E33" i="51"/>
  <c r="E34" i="51"/>
  <c r="E35" i="51"/>
  <c r="E25" i="51"/>
  <c r="E28" i="51"/>
  <c r="E30" i="51"/>
  <c r="E36" i="51"/>
  <c r="E26" i="51"/>
  <c r="E29" i="51"/>
  <c r="E9" i="51"/>
  <c r="E31" i="51"/>
  <c r="E37" i="51"/>
  <c r="E42" i="51"/>
  <c r="E41" i="51"/>
  <c r="E40" i="51"/>
  <c r="E10" i="51"/>
  <c r="E14" i="51"/>
  <c r="E16" i="51"/>
  <c r="E18" i="51"/>
  <c r="E19" i="51"/>
  <c r="E38" i="51"/>
  <c r="C25" i="51"/>
  <c r="C26" i="51"/>
  <c r="C33" i="51"/>
  <c r="C34" i="51"/>
  <c r="C35" i="51"/>
  <c r="C28" i="51"/>
  <c r="C30" i="51"/>
  <c r="C36" i="51"/>
  <c r="C29" i="51"/>
  <c r="C9" i="51"/>
  <c r="C31" i="51"/>
  <c r="C37" i="51"/>
  <c r="C42" i="51"/>
  <c r="C43" i="51"/>
  <c r="E43" i="51"/>
  <c r="C10" i="51"/>
  <c r="C14" i="51"/>
  <c r="C16" i="51"/>
  <c r="C18" i="51"/>
  <c r="C19" i="51"/>
  <c r="C38" i="51"/>
  <c r="C44" i="51"/>
  <c r="E44" i="51"/>
  <c r="C41" i="51"/>
  <c r="C40" i="51"/>
  <c r="F4" i="52"/>
  <c r="F11" i="52"/>
  <c r="F13" i="52"/>
  <c r="B4" i="52"/>
  <c r="B11" i="52"/>
  <c r="B13" i="52"/>
  <c r="O14" i="52"/>
  <c r="M11" i="52"/>
  <c r="L11" i="52"/>
  <c r="L10" i="52"/>
  <c r="L9" i="52"/>
  <c r="M8" i="52"/>
  <c r="L8" i="52"/>
  <c r="M7" i="52"/>
  <c r="L7" i="52"/>
  <c r="M6" i="52"/>
  <c r="L6" i="52"/>
  <c r="M5" i="52"/>
  <c r="L5" i="52"/>
  <c r="M4" i="52"/>
  <c r="L4" i="52"/>
  <c r="L13" i="52"/>
  <c r="O13" i="52"/>
  <c r="D37" i="66"/>
  <c r="R5" i="66"/>
  <c r="S5" i="66"/>
  <c r="G37" i="66"/>
  <c r="G11" i="66"/>
  <c r="G7" i="66"/>
  <c r="T5" i="66"/>
  <c r="U37" i="66"/>
  <c r="AB6" i="66"/>
  <c r="AB13" i="66"/>
  <c r="V5" i="66"/>
  <c r="S9" i="66"/>
  <c r="J16" i="66"/>
  <c r="T9" i="66"/>
  <c r="I21" i="66"/>
  <c r="AB7" i="66"/>
  <c r="AB14" i="66"/>
  <c r="S10" i="66"/>
  <c r="J17" i="66"/>
  <c r="T10" i="66"/>
  <c r="I22" i="66"/>
  <c r="W37" i="66"/>
  <c r="V37" i="66"/>
  <c r="R6" i="66"/>
  <c r="S6" i="66"/>
  <c r="T6" i="66"/>
  <c r="S12" i="66"/>
  <c r="T12" i="66"/>
  <c r="I23" i="66"/>
  <c r="Q37" i="66"/>
  <c r="AT4" i="66"/>
  <c r="AU4" i="66"/>
  <c r="AT5" i="66"/>
  <c r="AV5" i="66"/>
  <c r="AS5" i="66"/>
  <c r="AS6" i="66"/>
  <c r="AX5" i="66"/>
  <c r="J37" i="66"/>
  <c r="AY5" i="66"/>
  <c r="AZ5" i="66"/>
  <c r="AW5" i="66"/>
  <c r="AT6" i="66"/>
  <c r="AV6" i="66"/>
  <c r="AS7" i="66"/>
  <c r="AX6" i="66"/>
  <c r="AY6" i="66"/>
  <c r="AZ6" i="66"/>
  <c r="AW6" i="66"/>
  <c r="AT7" i="66"/>
  <c r="AV7" i="66"/>
  <c r="AS8" i="66"/>
  <c r="AX7" i="66"/>
  <c r="AY7" i="66"/>
  <c r="AZ7" i="66"/>
  <c r="AW7" i="66"/>
  <c r="AT8" i="66"/>
  <c r="AV8" i="66"/>
  <c r="AS9" i="66"/>
  <c r="AX8" i="66"/>
  <c r="AY8" i="66"/>
  <c r="AZ8" i="66"/>
  <c r="AW8" i="66"/>
  <c r="AT9" i="66"/>
  <c r="AV9" i="66"/>
  <c r="AS10" i="66"/>
  <c r="AX9" i="66"/>
  <c r="AY9" i="66"/>
  <c r="AZ9" i="66"/>
  <c r="AW9" i="66"/>
  <c r="AT10" i="66"/>
  <c r="AV10" i="66"/>
  <c r="AS11" i="66"/>
  <c r="AX10" i="66"/>
  <c r="AY10" i="66"/>
  <c r="AZ10" i="66"/>
  <c r="AW10" i="66"/>
  <c r="AT11" i="66"/>
  <c r="AV11" i="66"/>
  <c r="AS12" i="66"/>
  <c r="AX11" i="66"/>
  <c r="AY11" i="66"/>
  <c r="AZ11" i="66"/>
  <c r="AW11" i="66"/>
  <c r="AT12" i="66"/>
  <c r="AV12" i="66"/>
  <c r="AS13" i="66"/>
  <c r="AX12" i="66"/>
  <c r="AY12" i="66"/>
  <c r="AZ12" i="66"/>
  <c r="AW12" i="66"/>
  <c r="AT13" i="66"/>
  <c r="AV13" i="66"/>
  <c r="AS14" i="66"/>
  <c r="AX13" i="66"/>
  <c r="AY13" i="66"/>
  <c r="AZ13" i="66"/>
  <c r="AW13" i="66"/>
  <c r="AT14" i="66"/>
  <c r="AV14" i="66"/>
  <c r="AS15" i="66"/>
  <c r="AX14" i="66"/>
  <c r="AY14" i="66"/>
  <c r="AZ14" i="66"/>
  <c r="AW14" i="66"/>
  <c r="AT15" i="66"/>
  <c r="AV15" i="66"/>
  <c r="AS16" i="66"/>
  <c r="AX15" i="66"/>
  <c r="AY15" i="66"/>
  <c r="AZ15" i="66"/>
  <c r="AW15" i="66"/>
  <c r="AT16" i="66"/>
  <c r="AV16" i="66"/>
  <c r="AS17" i="66"/>
  <c r="AX16" i="66"/>
  <c r="AY16" i="66"/>
  <c r="AZ16" i="66"/>
  <c r="AW16" i="66"/>
  <c r="AT17" i="66"/>
  <c r="AV17" i="66"/>
  <c r="AS18" i="66"/>
  <c r="AX17" i="66"/>
  <c r="AY17" i="66"/>
  <c r="AZ17" i="66"/>
  <c r="AW17" i="66"/>
  <c r="AT18" i="66"/>
  <c r="AV18" i="66"/>
  <c r="AS19" i="66"/>
  <c r="AX18" i="66"/>
  <c r="AY18" i="66"/>
  <c r="AZ18" i="66"/>
  <c r="AW18" i="66"/>
  <c r="AT19" i="66"/>
  <c r="AV19" i="66"/>
  <c r="AS20" i="66"/>
  <c r="AX19" i="66"/>
  <c r="AY19" i="66"/>
  <c r="AZ19" i="66"/>
  <c r="AW19" i="66"/>
  <c r="AT20" i="66"/>
  <c r="AV20" i="66"/>
  <c r="AS21" i="66"/>
  <c r="AX20" i="66"/>
  <c r="AY20" i="66"/>
  <c r="AZ20" i="66"/>
  <c r="AW20" i="66"/>
  <c r="AT21" i="66"/>
  <c r="AV21" i="66"/>
  <c r="AS22" i="66"/>
  <c r="AX21" i="66"/>
  <c r="AY21" i="66"/>
  <c r="AZ21" i="66"/>
  <c r="AW21" i="66"/>
  <c r="AT22" i="66"/>
  <c r="AV22" i="66"/>
  <c r="AS23" i="66"/>
  <c r="AX22" i="66"/>
  <c r="AY22" i="66"/>
  <c r="AZ22" i="66"/>
  <c r="AW22" i="66"/>
  <c r="AT23" i="66"/>
  <c r="AV23" i="66"/>
  <c r="AS24" i="66"/>
  <c r="AX23" i="66"/>
  <c r="AY23" i="66"/>
  <c r="AZ23" i="66"/>
  <c r="AW23" i="66"/>
  <c r="AT24" i="66"/>
  <c r="AV24" i="66"/>
  <c r="AW24" i="66"/>
  <c r="AS25" i="66"/>
  <c r="AX24" i="66"/>
  <c r="AY24" i="66"/>
  <c r="AZ24" i="66"/>
  <c r="AZ25" i="66"/>
  <c r="AS26" i="66"/>
  <c r="AZ26" i="66"/>
  <c r="AS27" i="66"/>
  <c r="AZ27" i="66"/>
  <c r="AS28" i="66"/>
  <c r="AZ28" i="66"/>
  <c r="AS29" i="66"/>
  <c r="AZ29" i="66"/>
  <c r="AS30" i="66"/>
  <c r="AZ30" i="66"/>
  <c r="AS33" i="66"/>
  <c r="AZ33" i="66"/>
  <c r="AS35" i="66"/>
  <c r="AZ35" i="66"/>
  <c r="AS36" i="66"/>
  <c r="AZ36" i="66"/>
  <c r="AS37" i="66"/>
  <c r="AZ37" i="66"/>
  <c r="AS38" i="66"/>
  <c r="AZ38" i="66"/>
  <c r="AS39" i="66"/>
  <c r="AZ39" i="66"/>
  <c r="AS40" i="66"/>
  <c r="AZ40" i="66"/>
  <c r="AS41" i="66"/>
  <c r="AZ41" i="66"/>
  <c r="AS42" i="66"/>
  <c r="AZ42" i="66"/>
  <c r="AS43" i="66"/>
  <c r="AZ43" i="66"/>
  <c r="AS44" i="66"/>
  <c r="AZ44" i="66"/>
  <c r="AS45" i="66"/>
  <c r="AZ45" i="66"/>
  <c r="AS46" i="66"/>
  <c r="AZ46" i="66"/>
  <c r="AS47" i="66"/>
  <c r="AZ47" i="66"/>
  <c r="AS48" i="66"/>
  <c r="AZ48" i="66"/>
  <c r="AS49" i="66"/>
  <c r="AZ49" i="66"/>
  <c r="AS50" i="66"/>
  <c r="AZ50" i="66"/>
  <c r="AS51" i="66"/>
  <c r="AZ51" i="66"/>
  <c r="AS52" i="66"/>
  <c r="AZ52" i="66"/>
  <c r="AS53" i="66"/>
  <c r="AZ53" i="66"/>
  <c r="AS54" i="66"/>
  <c r="AZ54" i="66"/>
  <c r="AS55" i="66"/>
  <c r="AZ55" i="66"/>
  <c r="AS56" i="66"/>
  <c r="AZ56" i="66"/>
  <c r="AS57" i="66"/>
  <c r="AZ57" i="66"/>
  <c r="AS58" i="66"/>
  <c r="AZ58" i="66"/>
  <c r="AS59" i="66"/>
  <c r="AZ59" i="66"/>
  <c r="AS60" i="66"/>
  <c r="AZ60" i="66"/>
  <c r="AS61" i="66"/>
  <c r="AZ61" i="66"/>
  <c r="AS62" i="66"/>
  <c r="AZ62" i="66"/>
  <c r="AS63" i="66"/>
  <c r="AZ63" i="66"/>
  <c r="AS64" i="66"/>
  <c r="AZ64" i="66"/>
  <c r="AS65" i="66"/>
  <c r="AZ65" i="66"/>
  <c r="AS66" i="66"/>
  <c r="AZ66" i="66"/>
  <c r="AS67" i="66"/>
  <c r="AZ67" i="66"/>
  <c r="AS68" i="66"/>
  <c r="AZ68" i="66"/>
  <c r="AS69" i="66"/>
  <c r="AZ69" i="66"/>
  <c r="AS70" i="66"/>
  <c r="AZ70" i="66"/>
  <c r="AS71" i="66"/>
  <c r="AZ71" i="66"/>
  <c r="AS72" i="66"/>
  <c r="AZ72" i="66"/>
  <c r="AS73" i="66"/>
  <c r="AZ73" i="66"/>
  <c r="AS74" i="66"/>
  <c r="AZ74" i="66"/>
  <c r="AS75" i="66"/>
  <c r="AZ75" i="66"/>
  <c r="AS76" i="66"/>
  <c r="AZ76" i="66"/>
  <c r="AS77" i="66"/>
  <c r="AZ77" i="66"/>
  <c r="AS78" i="66"/>
  <c r="AZ78" i="66"/>
  <c r="AS79" i="66"/>
  <c r="AZ79" i="66"/>
  <c r="AS80" i="66"/>
  <c r="AZ80" i="66"/>
  <c r="AS81" i="66"/>
  <c r="AZ81" i="66"/>
  <c r="AS82" i="66"/>
  <c r="AZ82" i="66"/>
  <c r="AS83" i="66"/>
  <c r="AZ83" i="66"/>
  <c r="AS84" i="66"/>
  <c r="AZ84" i="66"/>
  <c r="AS85" i="66"/>
  <c r="AZ85" i="66"/>
  <c r="AS86" i="66"/>
  <c r="AZ86" i="66"/>
  <c r="AS87" i="66"/>
  <c r="AZ87" i="66"/>
  <c r="AS88" i="66"/>
  <c r="AZ88" i="66"/>
  <c r="AS89" i="66"/>
  <c r="AZ89" i="66"/>
  <c r="AS90" i="66"/>
  <c r="AZ90" i="66"/>
  <c r="AS91" i="66"/>
  <c r="AZ91" i="66"/>
  <c r="AS92" i="66"/>
  <c r="AZ92" i="66"/>
  <c r="AS93" i="66"/>
  <c r="AZ93" i="66"/>
  <c r="AS94" i="66"/>
  <c r="AZ94" i="66"/>
  <c r="AS95" i="66"/>
  <c r="AZ95" i="66"/>
  <c r="AS96" i="66"/>
  <c r="AZ96" i="66"/>
  <c r="AS97" i="66"/>
  <c r="AZ97" i="66"/>
  <c r="AS98" i="66"/>
  <c r="AZ98" i="66"/>
  <c r="AS99" i="66"/>
  <c r="AZ99" i="66"/>
  <c r="AS100" i="66"/>
  <c r="AZ100" i="66"/>
  <c r="AS101" i="66"/>
  <c r="AZ101" i="66"/>
  <c r="AS102" i="66"/>
  <c r="AZ102" i="66"/>
  <c r="AS103" i="66"/>
  <c r="AZ103" i="66"/>
  <c r="AS104" i="66"/>
  <c r="AZ104" i="66"/>
  <c r="AS105" i="66"/>
  <c r="AZ105" i="66"/>
  <c r="AS106" i="66"/>
  <c r="AZ106" i="66"/>
  <c r="AS107" i="66"/>
  <c r="AZ107" i="66"/>
  <c r="AS108" i="66"/>
  <c r="AZ108" i="66"/>
  <c r="AS109" i="66"/>
  <c r="AZ109" i="66"/>
  <c r="AS110" i="66"/>
  <c r="AZ110" i="66"/>
  <c r="AS111" i="66"/>
  <c r="AZ111" i="66"/>
  <c r="AS112" i="66"/>
  <c r="AZ112" i="66"/>
  <c r="AS113" i="66"/>
  <c r="AZ113" i="66"/>
  <c r="AS114" i="66"/>
  <c r="AZ114" i="66"/>
  <c r="BA5" i="66"/>
  <c r="R14" i="66"/>
  <c r="AX4" i="66"/>
  <c r="AY4" i="66"/>
  <c r="AZ4" i="66"/>
  <c r="S14" i="66"/>
  <c r="T14" i="66"/>
  <c r="V14" i="66"/>
  <c r="I24" i="66"/>
  <c r="I25" i="66"/>
  <c r="V9" i="66"/>
  <c r="I31" i="66"/>
  <c r="V10" i="66"/>
  <c r="I32" i="66"/>
  <c r="M18" i="66"/>
  <c r="AB8" i="66"/>
  <c r="AB15" i="66"/>
  <c r="W16" i="66"/>
  <c r="W17" i="66"/>
  <c r="G29" i="66"/>
  <c r="I34" i="66"/>
  <c r="AT114" i="66"/>
  <c r="AV114" i="66"/>
  <c r="AW114" i="66"/>
  <c r="AX114" i="66"/>
  <c r="AY114" i="66"/>
  <c r="AT113" i="66"/>
  <c r="AV113" i="66"/>
  <c r="AW113" i="66"/>
  <c r="AX113" i="66"/>
  <c r="AY113" i="66"/>
  <c r="AT112" i="66"/>
  <c r="AV112" i="66"/>
  <c r="AW112" i="66"/>
  <c r="AX112" i="66"/>
  <c r="AY112" i="66"/>
  <c r="AT111" i="66"/>
  <c r="AV111" i="66"/>
  <c r="AW111" i="66"/>
  <c r="AX111" i="66"/>
  <c r="AY111" i="66"/>
  <c r="AT110" i="66"/>
  <c r="AV110" i="66"/>
  <c r="AW110" i="66"/>
  <c r="AX110" i="66"/>
  <c r="AY110" i="66"/>
  <c r="AT109" i="66"/>
  <c r="AV109" i="66"/>
  <c r="AW109" i="66"/>
  <c r="AX109" i="66"/>
  <c r="AY109" i="66"/>
  <c r="AT108" i="66"/>
  <c r="AV108" i="66"/>
  <c r="AW108" i="66"/>
  <c r="AX108" i="66"/>
  <c r="AY108" i="66"/>
  <c r="AT107" i="66"/>
  <c r="AV107" i="66"/>
  <c r="AW107" i="66"/>
  <c r="AX107" i="66"/>
  <c r="AY107" i="66"/>
  <c r="AT106" i="66"/>
  <c r="AV106" i="66"/>
  <c r="AW106" i="66"/>
  <c r="AX106" i="66"/>
  <c r="AY106" i="66"/>
  <c r="AT105" i="66"/>
  <c r="AV105" i="66"/>
  <c r="AW105" i="66"/>
  <c r="AX105" i="66"/>
  <c r="AY105" i="66"/>
  <c r="AT104" i="66"/>
  <c r="AV104" i="66"/>
  <c r="AW104" i="66"/>
  <c r="AX104" i="66"/>
  <c r="AY104" i="66"/>
  <c r="AT103" i="66"/>
  <c r="AV103" i="66"/>
  <c r="AW103" i="66"/>
  <c r="AX103" i="66"/>
  <c r="AY103" i="66"/>
  <c r="AT102" i="66"/>
  <c r="AV102" i="66"/>
  <c r="AW102" i="66"/>
  <c r="AX102" i="66"/>
  <c r="AY102" i="66"/>
  <c r="AT101" i="66"/>
  <c r="AV101" i="66"/>
  <c r="AW101" i="66"/>
  <c r="AX101" i="66"/>
  <c r="AY101" i="66"/>
  <c r="AT100" i="66"/>
  <c r="AV100" i="66"/>
  <c r="AW100" i="66"/>
  <c r="AX100" i="66"/>
  <c r="AY100" i="66"/>
  <c r="AT99" i="66"/>
  <c r="AV99" i="66"/>
  <c r="AW99" i="66"/>
  <c r="AX99" i="66"/>
  <c r="AY99" i="66"/>
  <c r="AT98" i="66"/>
  <c r="AV98" i="66"/>
  <c r="AW98" i="66"/>
  <c r="AX98" i="66"/>
  <c r="AY98" i="66"/>
  <c r="AT97" i="66"/>
  <c r="AV97" i="66"/>
  <c r="AW97" i="66"/>
  <c r="AX97" i="66"/>
  <c r="AY97" i="66"/>
  <c r="AT96" i="66"/>
  <c r="AV96" i="66"/>
  <c r="AW96" i="66"/>
  <c r="AX96" i="66"/>
  <c r="AY96" i="66"/>
  <c r="AT95" i="66"/>
  <c r="AV95" i="66"/>
  <c r="AW95" i="66"/>
  <c r="AX95" i="66"/>
  <c r="AY95" i="66"/>
  <c r="AT94" i="66"/>
  <c r="AV94" i="66"/>
  <c r="AW94" i="66"/>
  <c r="AX94" i="66"/>
  <c r="AY94" i="66"/>
  <c r="AT93" i="66"/>
  <c r="AV93" i="66"/>
  <c r="AW93" i="66"/>
  <c r="AX93" i="66"/>
  <c r="AY93" i="66"/>
  <c r="AT92" i="66"/>
  <c r="AV92" i="66"/>
  <c r="AW92" i="66"/>
  <c r="AX92" i="66"/>
  <c r="AY92" i="66"/>
  <c r="AT91" i="66"/>
  <c r="AV91" i="66"/>
  <c r="AW91" i="66"/>
  <c r="AX91" i="66"/>
  <c r="AY91" i="66"/>
  <c r="AT90" i="66"/>
  <c r="AV90" i="66"/>
  <c r="AW90" i="66"/>
  <c r="AX90" i="66"/>
  <c r="AY90" i="66"/>
  <c r="AT89" i="66"/>
  <c r="AV89" i="66"/>
  <c r="AW89" i="66"/>
  <c r="AX89" i="66"/>
  <c r="AY89" i="66"/>
  <c r="AT88" i="66"/>
  <c r="AV88" i="66"/>
  <c r="AW88" i="66"/>
  <c r="AX88" i="66"/>
  <c r="AY88" i="66"/>
  <c r="AT87" i="66"/>
  <c r="AV87" i="66"/>
  <c r="AW87" i="66"/>
  <c r="AX87" i="66"/>
  <c r="AY87" i="66"/>
  <c r="AT86" i="66"/>
  <c r="AV86" i="66"/>
  <c r="AW86" i="66"/>
  <c r="AX86" i="66"/>
  <c r="AY86" i="66"/>
  <c r="AT85" i="66"/>
  <c r="AV85" i="66"/>
  <c r="AW85" i="66"/>
  <c r="AX85" i="66"/>
  <c r="AY85" i="66"/>
  <c r="AT84" i="66"/>
  <c r="AV84" i="66"/>
  <c r="AW84" i="66"/>
  <c r="AX84" i="66"/>
  <c r="AY84" i="66"/>
  <c r="AT83" i="66"/>
  <c r="AV83" i="66"/>
  <c r="AW83" i="66"/>
  <c r="AX83" i="66"/>
  <c r="AY83" i="66"/>
  <c r="AT82" i="66"/>
  <c r="AV82" i="66"/>
  <c r="AW82" i="66"/>
  <c r="AX82" i="66"/>
  <c r="AY82" i="66"/>
  <c r="AT81" i="66"/>
  <c r="AV81" i="66"/>
  <c r="AW81" i="66"/>
  <c r="AX81" i="66"/>
  <c r="AY81" i="66"/>
  <c r="AT80" i="66"/>
  <c r="AV80" i="66"/>
  <c r="AW80" i="66"/>
  <c r="AX80" i="66"/>
  <c r="AY80" i="66"/>
  <c r="AT79" i="66"/>
  <c r="AV79" i="66"/>
  <c r="AW79" i="66"/>
  <c r="AX79" i="66"/>
  <c r="AY79" i="66"/>
  <c r="AT78" i="66"/>
  <c r="AV78" i="66"/>
  <c r="AW78" i="66"/>
  <c r="AX78" i="66"/>
  <c r="AY78" i="66"/>
  <c r="AT77" i="66"/>
  <c r="AV77" i="66"/>
  <c r="AW77" i="66"/>
  <c r="AX77" i="66"/>
  <c r="AY77" i="66"/>
  <c r="AT76" i="66"/>
  <c r="AV76" i="66"/>
  <c r="AW76" i="66"/>
  <c r="AX76" i="66"/>
  <c r="AY76" i="66"/>
  <c r="AT75" i="66"/>
  <c r="AV75" i="66"/>
  <c r="AW75" i="66"/>
  <c r="AX75" i="66"/>
  <c r="AY75" i="66"/>
  <c r="AT74" i="66"/>
  <c r="AV74" i="66"/>
  <c r="AW74" i="66"/>
  <c r="AX74" i="66"/>
  <c r="AY74" i="66"/>
  <c r="AT73" i="66"/>
  <c r="AV73" i="66"/>
  <c r="AW73" i="66"/>
  <c r="AX73" i="66"/>
  <c r="AY73" i="66"/>
  <c r="AT72" i="66"/>
  <c r="AV72" i="66"/>
  <c r="AW72" i="66"/>
  <c r="AX72" i="66"/>
  <c r="AY72" i="66"/>
  <c r="AT71" i="66"/>
  <c r="AV71" i="66"/>
  <c r="AW71" i="66"/>
  <c r="AX71" i="66"/>
  <c r="AY71" i="66"/>
  <c r="AT70" i="66"/>
  <c r="AV70" i="66"/>
  <c r="AW70" i="66"/>
  <c r="AX70" i="66"/>
  <c r="AY70" i="66"/>
  <c r="AT69" i="66"/>
  <c r="AV69" i="66"/>
  <c r="AW69" i="66"/>
  <c r="AX69" i="66"/>
  <c r="AY69" i="66"/>
  <c r="AT68" i="66"/>
  <c r="AV68" i="66"/>
  <c r="AW68" i="66"/>
  <c r="AX68" i="66"/>
  <c r="AY68" i="66"/>
  <c r="AT67" i="66"/>
  <c r="AV67" i="66"/>
  <c r="AW67" i="66"/>
  <c r="AX67" i="66"/>
  <c r="AY67" i="66"/>
  <c r="AT66" i="66"/>
  <c r="AV66" i="66"/>
  <c r="AW66" i="66"/>
  <c r="AX66" i="66"/>
  <c r="AY66" i="66"/>
  <c r="AT65" i="66"/>
  <c r="AV65" i="66"/>
  <c r="AW65" i="66"/>
  <c r="AX65" i="66"/>
  <c r="AY65" i="66"/>
  <c r="AT64" i="66"/>
  <c r="AV64" i="66"/>
  <c r="AW64" i="66"/>
  <c r="AX64" i="66"/>
  <c r="AY64" i="66"/>
  <c r="AT63" i="66"/>
  <c r="AV63" i="66"/>
  <c r="AW63" i="66"/>
  <c r="AX63" i="66"/>
  <c r="AY63" i="66"/>
  <c r="AT62" i="66"/>
  <c r="AV62" i="66"/>
  <c r="AW62" i="66"/>
  <c r="AX62" i="66"/>
  <c r="AY62" i="66"/>
  <c r="AT61" i="66"/>
  <c r="AV61" i="66"/>
  <c r="AW61" i="66"/>
  <c r="AX61" i="66"/>
  <c r="AY61" i="66"/>
  <c r="AT60" i="66"/>
  <c r="AV60" i="66"/>
  <c r="AW60" i="66"/>
  <c r="AX60" i="66"/>
  <c r="AY60" i="66"/>
  <c r="AT59" i="66"/>
  <c r="AV59" i="66"/>
  <c r="AW59" i="66"/>
  <c r="AX59" i="66"/>
  <c r="AY59" i="66"/>
  <c r="AT58" i="66"/>
  <c r="AV58" i="66"/>
  <c r="AW58" i="66"/>
  <c r="AX58" i="66"/>
  <c r="AY58" i="66"/>
  <c r="AT57" i="66"/>
  <c r="AV57" i="66"/>
  <c r="AW57" i="66"/>
  <c r="AX57" i="66"/>
  <c r="AY57" i="66"/>
  <c r="AT56" i="66"/>
  <c r="AV56" i="66"/>
  <c r="AW56" i="66"/>
  <c r="AX56" i="66"/>
  <c r="AY56" i="66"/>
  <c r="AT55" i="66"/>
  <c r="AV55" i="66"/>
  <c r="AW55" i="66"/>
  <c r="AX55" i="66"/>
  <c r="AY55" i="66"/>
  <c r="AT54" i="66"/>
  <c r="AV54" i="66"/>
  <c r="AW54" i="66"/>
  <c r="AX54" i="66"/>
  <c r="AY54" i="66"/>
  <c r="AT53" i="66"/>
  <c r="AV53" i="66"/>
  <c r="AW53" i="66"/>
  <c r="AX53" i="66"/>
  <c r="AY53" i="66"/>
  <c r="AT52" i="66"/>
  <c r="AV52" i="66"/>
  <c r="AW52" i="66"/>
  <c r="AX52" i="66"/>
  <c r="AY52" i="66"/>
  <c r="AT51" i="66"/>
  <c r="AV51" i="66"/>
  <c r="AW51" i="66"/>
  <c r="AX51" i="66"/>
  <c r="AY51" i="66"/>
  <c r="AT50" i="66"/>
  <c r="AV50" i="66"/>
  <c r="AW50" i="66"/>
  <c r="AX50" i="66"/>
  <c r="AY50" i="66"/>
  <c r="AT49" i="66"/>
  <c r="AV49" i="66"/>
  <c r="AW49" i="66"/>
  <c r="AX49" i="66"/>
  <c r="AY49" i="66"/>
  <c r="AT48" i="66"/>
  <c r="AV48" i="66"/>
  <c r="AW48" i="66"/>
  <c r="AX48" i="66"/>
  <c r="AY48" i="66"/>
  <c r="AT47" i="66"/>
  <c r="AV47" i="66"/>
  <c r="AW47" i="66"/>
  <c r="AX47" i="66"/>
  <c r="AY47" i="66"/>
  <c r="AT46" i="66"/>
  <c r="AV46" i="66"/>
  <c r="AW46" i="66"/>
  <c r="AX46" i="66"/>
  <c r="AY46" i="66"/>
  <c r="AT45" i="66"/>
  <c r="AV45" i="66"/>
  <c r="AW45" i="66"/>
  <c r="AX45" i="66"/>
  <c r="AY45" i="66"/>
  <c r="AT44" i="66"/>
  <c r="AV44" i="66"/>
  <c r="AW44" i="66"/>
  <c r="AX44" i="66"/>
  <c r="AY44" i="66"/>
  <c r="AT43" i="66"/>
  <c r="AV43" i="66"/>
  <c r="AW43" i="66"/>
  <c r="AX43" i="66"/>
  <c r="AY43" i="66"/>
  <c r="AT42" i="66"/>
  <c r="AV42" i="66"/>
  <c r="AW42" i="66"/>
  <c r="AX42" i="66"/>
  <c r="AY42" i="66"/>
  <c r="AT41" i="66"/>
  <c r="AV41" i="66"/>
  <c r="AW41" i="66"/>
  <c r="AX41" i="66"/>
  <c r="AY41" i="66"/>
  <c r="AT40" i="66"/>
  <c r="AV40" i="66"/>
  <c r="AW40" i="66"/>
  <c r="AX40" i="66"/>
  <c r="AY40" i="66"/>
  <c r="AT39" i="66"/>
  <c r="AV39" i="66"/>
  <c r="AW39" i="66"/>
  <c r="AX39" i="66"/>
  <c r="AY39" i="66"/>
  <c r="AT38" i="66"/>
  <c r="AV38" i="66"/>
  <c r="AW38" i="66"/>
  <c r="AX38" i="66"/>
  <c r="AY38" i="66"/>
  <c r="AT37" i="66"/>
  <c r="AV37" i="66"/>
  <c r="AW37" i="66"/>
  <c r="AX37" i="66"/>
  <c r="AY37" i="66"/>
  <c r="O37" i="66"/>
  <c r="H37" i="66"/>
  <c r="AT36" i="66"/>
  <c r="AV36" i="66"/>
  <c r="AW36" i="66"/>
  <c r="AX36" i="66"/>
  <c r="AY36" i="66"/>
  <c r="AT35" i="66"/>
  <c r="AV35" i="66"/>
  <c r="AW35" i="66"/>
  <c r="AX35" i="66"/>
  <c r="AY35" i="66"/>
  <c r="AT33" i="66"/>
  <c r="AV33" i="66"/>
  <c r="AW33" i="66"/>
  <c r="AX33" i="66"/>
  <c r="AY33" i="66"/>
  <c r="W33" i="66"/>
  <c r="AT30" i="66"/>
  <c r="AV30" i="66"/>
  <c r="AW30" i="66"/>
  <c r="AX30" i="66"/>
  <c r="AY30" i="66"/>
  <c r="AT29" i="66"/>
  <c r="AV29" i="66"/>
  <c r="AW29" i="66"/>
  <c r="AX29" i="66"/>
  <c r="AY29" i="66"/>
  <c r="AT28" i="66"/>
  <c r="AV28" i="66"/>
  <c r="AW28" i="66"/>
  <c r="AX28" i="66"/>
  <c r="AY28" i="66"/>
  <c r="G28" i="66"/>
  <c r="AT27" i="66"/>
  <c r="AV27" i="66"/>
  <c r="AW27" i="66"/>
  <c r="AX27" i="66"/>
  <c r="AY27" i="66"/>
  <c r="G27" i="66"/>
  <c r="AT26" i="66"/>
  <c r="AV26" i="66"/>
  <c r="AW26" i="66"/>
  <c r="AX26" i="66"/>
  <c r="AY26" i="66"/>
  <c r="AT25" i="66"/>
  <c r="AV25" i="66"/>
  <c r="AW25" i="66"/>
  <c r="AX25" i="66"/>
  <c r="AY25" i="66"/>
  <c r="W19" i="66"/>
  <c r="T19" i="66"/>
  <c r="S19" i="66"/>
  <c r="T17" i="66"/>
  <c r="S17" i="66"/>
  <c r="T16" i="66"/>
  <c r="S16" i="66"/>
  <c r="AE6" i="66"/>
  <c r="AE8" i="66"/>
  <c r="BB5" i="66"/>
  <c r="S37" i="66"/>
  <c r="R37" i="66"/>
  <c r="T11" i="66"/>
  <c r="W18" i="66"/>
  <c r="S23" i="66"/>
  <c r="V11" i="66"/>
  <c r="I33" i="66"/>
  <c r="J32" i="66"/>
  <c r="J31" i="66"/>
  <c r="S26" i="66"/>
  <c r="S31" i="66"/>
  <c r="W31" i="66"/>
  <c r="S25" i="66"/>
  <c r="S30" i="66"/>
  <c r="W30" i="66"/>
  <c r="S24" i="66"/>
  <c r="S29" i="66"/>
  <c r="W29" i="66"/>
  <c r="S27" i="66"/>
  <c r="W27" i="66"/>
  <c r="W26" i="66"/>
  <c r="W25" i="66"/>
  <c r="W24" i="66"/>
  <c r="V19" i="66"/>
  <c r="V18" i="66"/>
  <c r="T18" i="66"/>
  <c r="S18" i="66"/>
  <c r="V17" i="66"/>
  <c r="V16" i="66"/>
  <c r="U11" i="66"/>
  <c r="D37" i="73"/>
  <c r="R5" i="73"/>
  <c r="S5" i="73"/>
  <c r="G37" i="73"/>
  <c r="G11" i="73"/>
  <c r="T5" i="73"/>
  <c r="U37" i="73"/>
  <c r="AB6" i="73"/>
  <c r="AB13" i="73"/>
  <c r="V5" i="73"/>
  <c r="S9" i="73"/>
  <c r="T9" i="73"/>
  <c r="I21" i="73"/>
  <c r="AB7" i="73"/>
  <c r="AB14" i="73"/>
  <c r="J15" i="73"/>
  <c r="S10" i="73"/>
  <c r="T10" i="73"/>
  <c r="I22" i="73"/>
  <c r="W37" i="73"/>
  <c r="V37" i="73"/>
  <c r="R6" i="73"/>
  <c r="S6" i="73"/>
  <c r="T6" i="73"/>
  <c r="S12" i="73"/>
  <c r="T12" i="73"/>
  <c r="I23" i="73"/>
  <c r="Q37" i="73"/>
  <c r="AT4" i="73"/>
  <c r="AU4" i="73"/>
  <c r="AT5" i="73"/>
  <c r="AV5" i="73"/>
  <c r="AS5" i="73"/>
  <c r="AS6" i="73"/>
  <c r="AX5" i="73"/>
  <c r="J37" i="73"/>
  <c r="AY5" i="73"/>
  <c r="AZ5" i="73"/>
  <c r="AW5" i="73"/>
  <c r="AT6" i="73"/>
  <c r="AV6" i="73"/>
  <c r="AS7" i="73"/>
  <c r="AX6" i="73"/>
  <c r="AY6" i="73"/>
  <c r="AZ6" i="73"/>
  <c r="AW6" i="73"/>
  <c r="AT7" i="73"/>
  <c r="AV7" i="73"/>
  <c r="AS8" i="73"/>
  <c r="AX7" i="73"/>
  <c r="AY7" i="73"/>
  <c r="AZ7" i="73"/>
  <c r="AW7" i="73"/>
  <c r="AT8" i="73"/>
  <c r="AV8" i="73"/>
  <c r="AS9" i="73"/>
  <c r="AX8" i="73"/>
  <c r="AY8" i="73"/>
  <c r="AZ8" i="73"/>
  <c r="AW8" i="73"/>
  <c r="AT9" i="73"/>
  <c r="AV9" i="73"/>
  <c r="AS10" i="73"/>
  <c r="AX9" i="73"/>
  <c r="AY9" i="73"/>
  <c r="AZ9" i="73"/>
  <c r="AW9" i="73"/>
  <c r="AT10" i="73"/>
  <c r="AV10" i="73"/>
  <c r="AS11" i="73"/>
  <c r="AX10" i="73"/>
  <c r="AY10" i="73"/>
  <c r="AZ10" i="73"/>
  <c r="AW10" i="73"/>
  <c r="AT11" i="73"/>
  <c r="AV11" i="73"/>
  <c r="AS12" i="73"/>
  <c r="AX11" i="73"/>
  <c r="AY11" i="73"/>
  <c r="AZ11" i="73"/>
  <c r="AW11" i="73"/>
  <c r="AT12" i="73"/>
  <c r="AV12" i="73"/>
  <c r="AS13" i="73"/>
  <c r="AX12" i="73"/>
  <c r="AY12" i="73"/>
  <c r="AZ12" i="73"/>
  <c r="AW12" i="73"/>
  <c r="AT13" i="73"/>
  <c r="AV13" i="73"/>
  <c r="AS14" i="73"/>
  <c r="AX13" i="73"/>
  <c r="AY13" i="73"/>
  <c r="AZ13" i="73"/>
  <c r="AW13" i="73"/>
  <c r="AT14" i="73"/>
  <c r="AV14" i="73"/>
  <c r="AS15" i="73"/>
  <c r="AX14" i="73"/>
  <c r="AY14" i="73"/>
  <c r="AZ14" i="73"/>
  <c r="AW14" i="73"/>
  <c r="AT15" i="73"/>
  <c r="AV15" i="73"/>
  <c r="AS16" i="73"/>
  <c r="AX15" i="73"/>
  <c r="AY15" i="73"/>
  <c r="AZ15" i="73"/>
  <c r="AW15" i="73"/>
  <c r="AT16" i="73"/>
  <c r="AV16" i="73"/>
  <c r="AS17" i="73"/>
  <c r="AX16" i="73"/>
  <c r="AY16" i="73"/>
  <c r="AZ16" i="73"/>
  <c r="AW16" i="73"/>
  <c r="AT17" i="73"/>
  <c r="AV17" i="73"/>
  <c r="AS18" i="73"/>
  <c r="AX17" i="73"/>
  <c r="AY17" i="73"/>
  <c r="AZ17" i="73"/>
  <c r="AW17" i="73"/>
  <c r="AT18" i="73"/>
  <c r="AV18" i="73"/>
  <c r="AS19" i="73"/>
  <c r="AX18" i="73"/>
  <c r="AY18" i="73"/>
  <c r="AZ18" i="73"/>
  <c r="AW18" i="73"/>
  <c r="AT19" i="73"/>
  <c r="AV19" i="73"/>
  <c r="AW19" i="73"/>
  <c r="AS20" i="73"/>
  <c r="AX19" i="73"/>
  <c r="AY19" i="73"/>
  <c r="AZ19" i="73"/>
  <c r="AZ20" i="73"/>
  <c r="AS21" i="73"/>
  <c r="AZ21" i="73"/>
  <c r="AS22" i="73"/>
  <c r="AZ22" i="73"/>
  <c r="AS23" i="73"/>
  <c r="AZ23" i="73"/>
  <c r="AS24" i="73"/>
  <c r="AZ24" i="73"/>
  <c r="AS25" i="73"/>
  <c r="AZ25" i="73"/>
  <c r="AS26" i="73"/>
  <c r="AZ26" i="73"/>
  <c r="AS27" i="73"/>
  <c r="AZ27" i="73"/>
  <c r="AS28" i="73"/>
  <c r="AZ28" i="73"/>
  <c r="AS29" i="73"/>
  <c r="AZ29" i="73"/>
  <c r="AS30" i="73"/>
  <c r="AZ30" i="73"/>
  <c r="AS33" i="73"/>
  <c r="AZ33" i="73"/>
  <c r="AS35" i="73"/>
  <c r="AZ35" i="73"/>
  <c r="AS36" i="73"/>
  <c r="AZ36" i="73"/>
  <c r="AS37" i="73"/>
  <c r="AZ37" i="73"/>
  <c r="AS38" i="73"/>
  <c r="AZ38" i="73"/>
  <c r="AS39" i="73"/>
  <c r="AZ39" i="73"/>
  <c r="AS40" i="73"/>
  <c r="AZ40" i="73"/>
  <c r="AS41" i="73"/>
  <c r="AZ41" i="73"/>
  <c r="AS42" i="73"/>
  <c r="AZ42" i="73"/>
  <c r="AS43" i="73"/>
  <c r="AZ43" i="73"/>
  <c r="AS44" i="73"/>
  <c r="AZ44" i="73"/>
  <c r="AS45" i="73"/>
  <c r="AZ45" i="73"/>
  <c r="AS46" i="73"/>
  <c r="AZ46" i="73"/>
  <c r="AS47" i="73"/>
  <c r="AZ47" i="73"/>
  <c r="AS48" i="73"/>
  <c r="AZ48" i="73"/>
  <c r="AS49" i="73"/>
  <c r="AZ49" i="73"/>
  <c r="AS50" i="73"/>
  <c r="AZ50" i="73"/>
  <c r="AS51" i="73"/>
  <c r="AZ51" i="73"/>
  <c r="AS52" i="73"/>
  <c r="AZ52" i="73"/>
  <c r="AS53" i="73"/>
  <c r="AZ53" i="73"/>
  <c r="AS54" i="73"/>
  <c r="AZ54" i="73"/>
  <c r="AS55" i="73"/>
  <c r="AZ55" i="73"/>
  <c r="AS56" i="73"/>
  <c r="AZ56" i="73"/>
  <c r="AS57" i="73"/>
  <c r="AZ57" i="73"/>
  <c r="AS58" i="73"/>
  <c r="AZ58" i="73"/>
  <c r="AS59" i="73"/>
  <c r="AZ59" i="73"/>
  <c r="AS60" i="73"/>
  <c r="AZ60" i="73"/>
  <c r="AS61" i="73"/>
  <c r="AZ61" i="73"/>
  <c r="AS62" i="73"/>
  <c r="AZ62" i="73"/>
  <c r="AS63" i="73"/>
  <c r="AZ63" i="73"/>
  <c r="AS64" i="73"/>
  <c r="AZ64" i="73"/>
  <c r="AS65" i="73"/>
  <c r="AZ65" i="73"/>
  <c r="AS66" i="73"/>
  <c r="AZ66" i="73"/>
  <c r="AS67" i="73"/>
  <c r="AZ67" i="73"/>
  <c r="AS68" i="73"/>
  <c r="AZ68" i="73"/>
  <c r="AS69" i="73"/>
  <c r="AZ69" i="73"/>
  <c r="AS70" i="73"/>
  <c r="AZ70" i="73"/>
  <c r="AS71" i="73"/>
  <c r="AZ71" i="73"/>
  <c r="AS72" i="73"/>
  <c r="AZ72" i="73"/>
  <c r="AS73" i="73"/>
  <c r="AZ73" i="73"/>
  <c r="AS74" i="73"/>
  <c r="AZ74" i="73"/>
  <c r="AS75" i="73"/>
  <c r="AZ75" i="73"/>
  <c r="AS76" i="73"/>
  <c r="AZ76" i="73"/>
  <c r="AS77" i="73"/>
  <c r="AZ77" i="73"/>
  <c r="AS78" i="73"/>
  <c r="AZ78" i="73"/>
  <c r="AS79" i="73"/>
  <c r="AZ79" i="73"/>
  <c r="AS80" i="73"/>
  <c r="AZ80" i="73"/>
  <c r="AS81" i="73"/>
  <c r="AZ81" i="73"/>
  <c r="AS82" i="73"/>
  <c r="AZ82" i="73"/>
  <c r="AS83" i="73"/>
  <c r="AZ83" i="73"/>
  <c r="AS84" i="73"/>
  <c r="AZ84" i="73"/>
  <c r="AS85" i="73"/>
  <c r="AZ85" i="73"/>
  <c r="AS86" i="73"/>
  <c r="AZ86" i="73"/>
  <c r="AS87" i="73"/>
  <c r="AZ87" i="73"/>
  <c r="AS88" i="73"/>
  <c r="AZ88" i="73"/>
  <c r="AS89" i="73"/>
  <c r="AZ89" i="73"/>
  <c r="AS90" i="73"/>
  <c r="AZ90" i="73"/>
  <c r="AS91" i="73"/>
  <c r="AZ91" i="73"/>
  <c r="AS92" i="73"/>
  <c r="AZ92" i="73"/>
  <c r="AS93" i="73"/>
  <c r="AZ93" i="73"/>
  <c r="AS94" i="73"/>
  <c r="AZ94" i="73"/>
  <c r="AS95" i="73"/>
  <c r="AZ95" i="73"/>
  <c r="AS96" i="73"/>
  <c r="AZ96" i="73"/>
  <c r="AS97" i="73"/>
  <c r="AZ97" i="73"/>
  <c r="AS98" i="73"/>
  <c r="AZ98" i="73"/>
  <c r="AS99" i="73"/>
  <c r="AZ99" i="73"/>
  <c r="AS100" i="73"/>
  <c r="AZ100" i="73"/>
  <c r="AS101" i="73"/>
  <c r="AZ101" i="73"/>
  <c r="AS102" i="73"/>
  <c r="AZ102" i="73"/>
  <c r="AS103" i="73"/>
  <c r="AZ103" i="73"/>
  <c r="AS104" i="73"/>
  <c r="AZ104" i="73"/>
  <c r="AS105" i="73"/>
  <c r="AZ105" i="73"/>
  <c r="AS106" i="73"/>
  <c r="AZ106" i="73"/>
  <c r="AS107" i="73"/>
  <c r="AZ107" i="73"/>
  <c r="AS108" i="73"/>
  <c r="AZ108" i="73"/>
  <c r="AS109" i="73"/>
  <c r="AZ109" i="73"/>
  <c r="AS110" i="73"/>
  <c r="AZ110" i="73"/>
  <c r="AS111" i="73"/>
  <c r="AZ111" i="73"/>
  <c r="AS112" i="73"/>
  <c r="AZ112" i="73"/>
  <c r="AS113" i="73"/>
  <c r="AZ113" i="73"/>
  <c r="AS114" i="73"/>
  <c r="AZ114" i="73"/>
  <c r="BA5" i="73"/>
  <c r="R14" i="73"/>
  <c r="AX4" i="73"/>
  <c r="AY4" i="73"/>
  <c r="AZ4" i="73"/>
  <c r="S14" i="73"/>
  <c r="T14" i="73"/>
  <c r="V14" i="73"/>
  <c r="I24" i="73"/>
  <c r="I25" i="73"/>
  <c r="V9" i="73"/>
  <c r="I31" i="73"/>
  <c r="V10" i="73"/>
  <c r="I32" i="73"/>
  <c r="W16" i="73"/>
  <c r="W17" i="73"/>
  <c r="G29" i="73"/>
  <c r="AB8" i="73"/>
  <c r="AT114" i="73"/>
  <c r="AV114" i="73"/>
  <c r="AW114" i="73"/>
  <c r="AX114" i="73"/>
  <c r="AY114" i="73"/>
  <c r="AT113" i="73"/>
  <c r="AV113" i="73"/>
  <c r="AW113" i="73"/>
  <c r="AX113" i="73"/>
  <c r="AY113" i="73"/>
  <c r="AT112" i="73"/>
  <c r="AV112" i="73"/>
  <c r="AW112" i="73"/>
  <c r="AX112" i="73"/>
  <c r="AY112" i="73"/>
  <c r="AT111" i="73"/>
  <c r="AV111" i="73"/>
  <c r="AW111" i="73"/>
  <c r="AX111" i="73"/>
  <c r="AY111" i="73"/>
  <c r="AT110" i="73"/>
  <c r="AV110" i="73"/>
  <c r="AW110" i="73"/>
  <c r="AX110" i="73"/>
  <c r="AY110" i="73"/>
  <c r="AT109" i="73"/>
  <c r="AV109" i="73"/>
  <c r="AW109" i="73"/>
  <c r="AX109" i="73"/>
  <c r="AY109" i="73"/>
  <c r="AT108" i="73"/>
  <c r="AV108" i="73"/>
  <c r="AW108" i="73"/>
  <c r="AX108" i="73"/>
  <c r="AY108" i="73"/>
  <c r="AT107" i="73"/>
  <c r="AV107" i="73"/>
  <c r="AW107" i="73"/>
  <c r="AX107" i="73"/>
  <c r="AY107" i="73"/>
  <c r="AT106" i="73"/>
  <c r="AV106" i="73"/>
  <c r="AW106" i="73"/>
  <c r="AX106" i="73"/>
  <c r="AY106" i="73"/>
  <c r="AT105" i="73"/>
  <c r="AV105" i="73"/>
  <c r="AW105" i="73"/>
  <c r="AX105" i="73"/>
  <c r="AY105" i="73"/>
  <c r="AT104" i="73"/>
  <c r="AV104" i="73"/>
  <c r="AW104" i="73"/>
  <c r="AX104" i="73"/>
  <c r="AY104" i="73"/>
  <c r="AT103" i="73"/>
  <c r="AV103" i="73"/>
  <c r="AW103" i="73"/>
  <c r="AX103" i="73"/>
  <c r="AY103" i="73"/>
  <c r="AT102" i="73"/>
  <c r="AV102" i="73"/>
  <c r="AW102" i="73"/>
  <c r="AX102" i="73"/>
  <c r="AY102" i="73"/>
  <c r="AT101" i="73"/>
  <c r="AV101" i="73"/>
  <c r="AW101" i="73"/>
  <c r="AX101" i="73"/>
  <c r="AY101" i="73"/>
  <c r="AT100" i="73"/>
  <c r="AV100" i="73"/>
  <c r="AW100" i="73"/>
  <c r="AX100" i="73"/>
  <c r="AY100" i="73"/>
  <c r="AT99" i="73"/>
  <c r="AV99" i="73"/>
  <c r="AW99" i="73"/>
  <c r="AX99" i="73"/>
  <c r="AY99" i="73"/>
  <c r="AT98" i="73"/>
  <c r="AV98" i="73"/>
  <c r="AW98" i="73"/>
  <c r="AX98" i="73"/>
  <c r="AY98" i="73"/>
  <c r="AT97" i="73"/>
  <c r="AV97" i="73"/>
  <c r="AW97" i="73"/>
  <c r="AX97" i="73"/>
  <c r="AY97" i="73"/>
  <c r="AT96" i="73"/>
  <c r="AV96" i="73"/>
  <c r="AW96" i="73"/>
  <c r="AX96" i="73"/>
  <c r="AY96" i="73"/>
  <c r="AT95" i="73"/>
  <c r="AV95" i="73"/>
  <c r="AW95" i="73"/>
  <c r="AX95" i="73"/>
  <c r="AY95" i="73"/>
  <c r="AT94" i="73"/>
  <c r="AV94" i="73"/>
  <c r="AW94" i="73"/>
  <c r="AX94" i="73"/>
  <c r="AY94" i="73"/>
  <c r="AT93" i="73"/>
  <c r="AV93" i="73"/>
  <c r="AW93" i="73"/>
  <c r="AX93" i="73"/>
  <c r="AY93" i="73"/>
  <c r="AT92" i="73"/>
  <c r="AV92" i="73"/>
  <c r="AW92" i="73"/>
  <c r="AX92" i="73"/>
  <c r="AY92" i="73"/>
  <c r="AT91" i="73"/>
  <c r="AV91" i="73"/>
  <c r="AW91" i="73"/>
  <c r="AX91" i="73"/>
  <c r="AY91" i="73"/>
  <c r="AT90" i="73"/>
  <c r="AV90" i="73"/>
  <c r="AW90" i="73"/>
  <c r="AX90" i="73"/>
  <c r="AY90" i="73"/>
  <c r="AT89" i="73"/>
  <c r="AV89" i="73"/>
  <c r="AW89" i="73"/>
  <c r="AX89" i="73"/>
  <c r="AY89" i="73"/>
  <c r="AT88" i="73"/>
  <c r="AV88" i="73"/>
  <c r="AW88" i="73"/>
  <c r="AX88" i="73"/>
  <c r="AY88" i="73"/>
  <c r="AT87" i="73"/>
  <c r="AV87" i="73"/>
  <c r="AW87" i="73"/>
  <c r="AX87" i="73"/>
  <c r="AY87" i="73"/>
  <c r="AT86" i="73"/>
  <c r="AV86" i="73"/>
  <c r="AW86" i="73"/>
  <c r="AX86" i="73"/>
  <c r="AY86" i="73"/>
  <c r="AT85" i="73"/>
  <c r="AV85" i="73"/>
  <c r="AW85" i="73"/>
  <c r="AX85" i="73"/>
  <c r="AY85" i="73"/>
  <c r="AT84" i="73"/>
  <c r="AV84" i="73"/>
  <c r="AW84" i="73"/>
  <c r="AX84" i="73"/>
  <c r="AY84" i="73"/>
  <c r="AT83" i="73"/>
  <c r="AV83" i="73"/>
  <c r="AW83" i="73"/>
  <c r="AX83" i="73"/>
  <c r="AY83" i="73"/>
  <c r="AT82" i="73"/>
  <c r="AV82" i="73"/>
  <c r="AW82" i="73"/>
  <c r="AX82" i="73"/>
  <c r="AY82" i="73"/>
  <c r="AT81" i="73"/>
  <c r="AV81" i="73"/>
  <c r="AW81" i="73"/>
  <c r="AX81" i="73"/>
  <c r="AY81" i="73"/>
  <c r="AT80" i="73"/>
  <c r="AV80" i="73"/>
  <c r="AW80" i="73"/>
  <c r="AX80" i="73"/>
  <c r="AY80" i="73"/>
  <c r="AT79" i="73"/>
  <c r="AV79" i="73"/>
  <c r="AW79" i="73"/>
  <c r="AX79" i="73"/>
  <c r="AY79" i="73"/>
  <c r="AT78" i="73"/>
  <c r="AV78" i="73"/>
  <c r="AW78" i="73"/>
  <c r="AX78" i="73"/>
  <c r="AY78" i="73"/>
  <c r="AT77" i="73"/>
  <c r="AV77" i="73"/>
  <c r="AW77" i="73"/>
  <c r="AX77" i="73"/>
  <c r="AY77" i="73"/>
  <c r="AT76" i="73"/>
  <c r="AV76" i="73"/>
  <c r="AW76" i="73"/>
  <c r="AX76" i="73"/>
  <c r="AY76" i="73"/>
  <c r="AT75" i="73"/>
  <c r="AV75" i="73"/>
  <c r="AW75" i="73"/>
  <c r="AX75" i="73"/>
  <c r="AY75" i="73"/>
  <c r="AT74" i="73"/>
  <c r="AV74" i="73"/>
  <c r="AW74" i="73"/>
  <c r="AX74" i="73"/>
  <c r="AY74" i="73"/>
  <c r="AT73" i="73"/>
  <c r="AV73" i="73"/>
  <c r="AW73" i="73"/>
  <c r="AX73" i="73"/>
  <c r="AY73" i="73"/>
  <c r="AT72" i="73"/>
  <c r="AV72" i="73"/>
  <c r="AW72" i="73"/>
  <c r="AX72" i="73"/>
  <c r="AY72" i="73"/>
  <c r="AT71" i="73"/>
  <c r="AV71" i="73"/>
  <c r="AW71" i="73"/>
  <c r="AX71" i="73"/>
  <c r="AY71" i="73"/>
  <c r="AT70" i="73"/>
  <c r="AV70" i="73"/>
  <c r="AW70" i="73"/>
  <c r="AX70" i="73"/>
  <c r="AY70" i="73"/>
  <c r="AT69" i="73"/>
  <c r="AV69" i="73"/>
  <c r="AW69" i="73"/>
  <c r="AX69" i="73"/>
  <c r="AY69" i="73"/>
  <c r="AT68" i="73"/>
  <c r="AV68" i="73"/>
  <c r="AW68" i="73"/>
  <c r="AX68" i="73"/>
  <c r="AY68" i="73"/>
  <c r="AT67" i="73"/>
  <c r="AV67" i="73"/>
  <c r="AW67" i="73"/>
  <c r="AX67" i="73"/>
  <c r="AY67" i="73"/>
  <c r="AT66" i="73"/>
  <c r="AV66" i="73"/>
  <c r="AW66" i="73"/>
  <c r="AX66" i="73"/>
  <c r="AY66" i="73"/>
  <c r="AT65" i="73"/>
  <c r="AV65" i="73"/>
  <c r="AW65" i="73"/>
  <c r="AX65" i="73"/>
  <c r="AY65" i="73"/>
  <c r="AT64" i="73"/>
  <c r="AV64" i="73"/>
  <c r="AW64" i="73"/>
  <c r="AX64" i="73"/>
  <c r="AY64" i="73"/>
  <c r="AT63" i="73"/>
  <c r="AV63" i="73"/>
  <c r="AW63" i="73"/>
  <c r="AX63" i="73"/>
  <c r="AY63" i="73"/>
  <c r="AT62" i="73"/>
  <c r="AV62" i="73"/>
  <c r="AW62" i="73"/>
  <c r="AX62" i="73"/>
  <c r="AY62" i="73"/>
  <c r="AT61" i="73"/>
  <c r="AV61" i="73"/>
  <c r="AW61" i="73"/>
  <c r="AX61" i="73"/>
  <c r="AY61" i="73"/>
  <c r="AT60" i="73"/>
  <c r="AV60" i="73"/>
  <c r="AW60" i="73"/>
  <c r="AX60" i="73"/>
  <c r="AY60" i="73"/>
  <c r="AT59" i="73"/>
  <c r="AV59" i="73"/>
  <c r="AW59" i="73"/>
  <c r="AX59" i="73"/>
  <c r="AY59" i="73"/>
  <c r="AT58" i="73"/>
  <c r="AV58" i="73"/>
  <c r="AW58" i="73"/>
  <c r="AX58" i="73"/>
  <c r="AY58" i="73"/>
  <c r="AT57" i="73"/>
  <c r="AV57" i="73"/>
  <c r="AW57" i="73"/>
  <c r="AX57" i="73"/>
  <c r="AY57" i="73"/>
  <c r="AT56" i="73"/>
  <c r="AV56" i="73"/>
  <c r="AW56" i="73"/>
  <c r="AX56" i="73"/>
  <c r="AY56" i="73"/>
  <c r="AT55" i="73"/>
  <c r="AV55" i="73"/>
  <c r="AW55" i="73"/>
  <c r="AX55" i="73"/>
  <c r="AY55" i="73"/>
  <c r="AT54" i="73"/>
  <c r="AV54" i="73"/>
  <c r="AW54" i="73"/>
  <c r="AX54" i="73"/>
  <c r="AY54" i="73"/>
  <c r="AT53" i="73"/>
  <c r="AV53" i="73"/>
  <c r="AW53" i="73"/>
  <c r="AX53" i="73"/>
  <c r="AY53" i="73"/>
  <c r="AT52" i="73"/>
  <c r="AV52" i="73"/>
  <c r="AW52" i="73"/>
  <c r="AX52" i="73"/>
  <c r="AY52" i="73"/>
  <c r="AT51" i="73"/>
  <c r="AV51" i="73"/>
  <c r="AW51" i="73"/>
  <c r="AX51" i="73"/>
  <c r="AY51" i="73"/>
  <c r="AT50" i="73"/>
  <c r="AV50" i="73"/>
  <c r="AW50" i="73"/>
  <c r="AX50" i="73"/>
  <c r="AY50" i="73"/>
  <c r="AT49" i="73"/>
  <c r="AV49" i="73"/>
  <c r="AW49" i="73"/>
  <c r="AX49" i="73"/>
  <c r="AY49" i="73"/>
  <c r="AT48" i="73"/>
  <c r="AV48" i="73"/>
  <c r="AW48" i="73"/>
  <c r="AX48" i="73"/>
  <c r="AY48" i="73"/>
  <c r="AT47" i="73"/>
  <c r="AV47" i="73"/>
  <c r="AW47" i="73"/>
  <c r="AX47" i="73"/>
  <c r="AY47" i="73"/>
  <c r="AT46" i="73"/>
  <c r="AV46" i="73"/>
  <c r="AW46" i="73"/>
  <c r="AX46" i="73"/>
  <c r="AY46" i="73"/>
  <c r="AT45" i="73"/>
  <c r="AV45" i="73"/>
  <c r="AW45" i="73"/>
  <c r="AX45" i="73"/>
  <c r="AY45" i="73"/>
  <c r="AT44" i="73"/>
  <c r="AV44" i="73"/>
  <c r="AW44" i="73"/>
  <c r="AX44" i="73"/>
  <c r="AY44" i="73"/>
  <c r="AT43" i="73"/>
  <c r="AV43" i="73"/>
  <c r="AW43" i="73"/>
  <c r="AX43" i="73"/>
  <c r="AY43" i="73"/>
  <c r="AT42" i="73"/>
  <c r="AV42" i="73"/>
  <c r="AW42" i="73"/>
  <c r="AX42" i="73"/>
  <c r="AY42" i="73"/>
  <c r="AT41" i="73"/>
  <c r="AV41" i="73"/>
  <c r="AW41" i="73"/>
  <c r="AX41" i="73"/>
  <c r="AY41" i="73"/>
  <c r="AT40" i="73"/>
  <c r="AV40" i="73"/>
  <c r="AW40" i="73"/>
  <c r="AX40" i="73"/>
  <c r="AY40" i="73"/>
  <c r="AT39" i="73"/>
  <c r="AV39" i="73"/>
  <c r="AW39" i="73"/>
  <c r="AX39" i="73"/>
  <c r="AY39" i="73"/>
  <c r="AT38" i="73"/>
  <c r="AV38" i="73"/>
  <c r="AW38" i="73"/>
  <c r="AX38" i="73"/>
  <c r="AY38" i="73"/>
  <c r="AT37" i="73"/>
  <c r="AV37" i="73"/>
  <c r="AW37" i="73"/>
  <c r="AX37" i="73"/>
  <c r="AY37" i="73"/>
  <c r="O37" i="73"/>
  <c r="H37" i="73"/>
  <c r="AT36" i="73"/>
  <c r="AV36" i="73"/>
  <c r="AW36" i="73"/>
  <c r="AX36" i="73"/>
  <c r="AY36" i="73"/>
  <c r="AT35" i="73"/>
  <c r="AV35" i="73"/>
  <c r="AW35" i="73"/>
  <c r="AX35" i="73"/>
  <c r="AY35" i="73"/>
  <c r="I34" i="73"/>
  <c r="AT33" i="73"/>
  <c r="AV33" i="73"/>
  <c r="AW33" i="73"/>
  <c r="AX33" i="73"/>
  <c r="AY33" i="73"/>
  <c r="W33" i="73"/>
  <c r="AB15" i="73"/>
  <c r="AT30" i="73"/>
  <c r="AV30" i="73"/>
  <c r="AW30" i="73"/>
  <c r="AX30" i="73"/>
  <c r="AY30" i="73"/>
  <c r="AT29" i="73"/>
  <c r="AV29" i="73"/>
  <c r="AW29" i="73"/>
  <c r="AX29" i="73"/>
  <c r="AY29" i="73"/>
  <c r="AT20" i="73"/>
  <c r="AV20" i="73"/>
  <c r="AW20" i="73"/>
  <c r="AX20" i="73"/>
  <c r="AY20" i="73"/>
  <c r="AT21" i="73"/>
  <c r="AV21" i="73"/>
  <c r="AW21" i="73"/>
  <c r="AX21" i="73"/>
  <c r="AY21" i="73"/>
  <c r="AT22" i="73"/>
  <c r="AV22" i="73"/>
  <c r="AW22" i="73"/>
  <c r="AX22" i="73"/>
  <c r="AY22" i="73"/>
  <c r="AT23" i="73"/>
  <c r="AV23" i="73"/>
  <c r="AW23" i="73"/>
  <c r="AX23" i="73"/>
  <c r="AY23" i="73"/>
  <c r="AT24" i="73"/>
  <c r="AV24" i="73"/>
  <c r="AW24" i="73"/>
  <c r="AX24" i="73"/>
  <c r="AY24" i="73"/>
  <c r="AT28" i="73"/>
  <c r="AV28" i="73"/>
  <c r="AW28" i="73"/>
  <c r="AX28" i="73"/>
  <c r="AY28" i="73"/>
  <c r="G28" i="73"/>
  <c r="AT27" i="73"/>
  <c r="AV27" i="73"/>
  <c r="AW27" i="73"/>
  <c r="AX27" i="73"/>
  <c r="AY27" i="73"/>
  <c r="G27" i="73"/>
  <c r="AT26" i="73"/>
  <c r="AV26" i="73"/>
  <c r="AW26" i="73"/>
  <c r="AX26" i="73"/>
  <c r="AY26" i="73"/>
  <c r="AT25" i="73"/>
  <c r="AV25" i="73"/>
  <c r="AW25" i="73"/>
  <c r="AX25" i="73"/>
  <c r="AY25" i="73"/>
  <c r="W19" i="73"/>
  <c r="T19" i="73"/>
  <c r="S19" i="73"/>
  <c r="T17" i="73"/>
  <c r="S17" i="73"/>
  <c r="T16" i="73"/>
  <c r="S16" i="73"/>
  <c r="AE6" i="73"/>
  <c r="AE8" i="73"/>
  <c r="BB5" i="73"/>
  <c r="S37" i="73"/>
  <c r="R37" i="73"/>
  <c r="T11" i="73"/>
  <c r="V11" i="73"/>
  <c r="I33" i="73"/>
  <c r="W18" i="73"/>
  <c r="S23" i="73"/>
  <c r="U11" i="73"/>
  <c r="S26" i="73"/>
  <c r="S31" i="73"/>
  <c r="W31" i="73"/>
  <c r="S25" i="73"/>
  <c r="S30" i="73"/>
  <c r="W30" i="73"/>
  <c r="S24" i="73"/>
  <c r="S29" i="73"/>
  <c r="W29" i="73"/>
  <c r="S27" i="73"/>
  <c r="W27" i="73"/>
  <c r="W26" i="73"/>
  <c r="W25" i="73"/>
  <c r="W24" i="73"/>
  <c r="V19" i="73"/>
  <c r="V18" i="73"/>
  <c r="T18" i="73"/>
  <c r="S18" i="73"/>
  <c r="V17" i="73"/>
  <c r="V16" i="73"/>
  <c r="D37" i="76"/>
  <c r="G37" i="76"/>
  <c r="U37" i="76"/>
  <c r="W37" i="76"/>
  <c r="V37" i="76"/>
  <c r="Q37" i="76"/>
  <c r="AT4" i="76"/>
  <c r="J37" i="76"/>
  <c r="I34" i="76"/>
  <c r="O37" i="76"/>
  <c r="H37" i="76"/>
  <c r="V5" i="5"/>
  <c r="V6" i="5"/>
  <c r="V7" i="5"/>
  <c r="V8" i="5"/>
  <c r="V9" i="5"/>
  <c r="V10" i="5"/>
  <c r="V11" i="5"/>
  <c r="V12" i="5"/>
  <c r="V13" i="5"/>
  <c r="V14" i="5"/>
  <c r="V15" i="5"/>
  <c r="V16" i="5"/>
  <c r="V19" i="5"/>
  <c r="D10" i="76"/>
  <c r="W5" i="5"/>
  <c r="W6" i="5"/>
  <c r="W7" i="5"/>
  <c r="W8" i="5"/>
  <c r="W9" i="5"/>
  <c r="W10" i="5"/>
  <c r="W11" i="5"/>
  <c r="W12" i="5"/>
  <c r="W13" i="5"/>
  <c r="W14" i="5"/>
  <c r="W15" i="5"/>
  <c r="W16" i="5"/>
  <c r="W19" i="5"/>
  <c r="D11" i="76"/>
  <c r="AU4" i="76"/>
  <c r="AT5" i="76"/>
  <c r="AV5" i="76"/>
  <c r="X5" i="5"/>
  <c r="X6" i="5"/>
  <c r="X7" i="5"/>
  <c r="X8" i="5"/>
  <c r="X9" i="5"/>
  <c r="X10" i="5"/>
  <c r="X11" i="5"/>
  <c r="X12" i="5"/>
  <c r="X13" i="5"/>
  <c r="X14" i="5"/>
  <c r="X15" i="5"/>
  <c r="X16" i="5"/>
  <c r="X19" i="5"/>
  <c r="D14" i="76"/>
  <c r="AS5" i="76"/>
  <c r="AS6" i="76"/>
  <c r="AX5" i="76"/>
  <c r="AY5" i="76"/>
  <c r="AW5" i="76"/>
  <c r="AT6" i="76"/>
  <c r="AV6" i="76"/>
  <c r="AS7" i="76"/>
  <c r="AX6" i="76"/>
  <c r="AY6" i="76"/>
  <c r="U5" i="5"/>
  <c r="U6" i="5"/>
  <c r="U7" i="5"/>
  <c r="U8" i="5"/>
  <c r="U9" i="5"/>
  <c r="U10" i="5"/>
  <c r="U11" i="5"/>
  <c r="U12" i="5"/>
  <c r="U13" i="5"/>
  <c r="U14" i="5"/>
  <c r="U15" i="5"/>
  <c r="U16" i="5"/>
  <c r="U19" i="5"/>
  <c r="D7" i="76"/>
  <c r="AZ6" i="76"/>
  <c r="AW6" i="76"/>
  <c r="AT7" i="76"/>
  <c r="AV7" i="76"/>
  <c r="AS8" i="76"/>
  <c r="AX7" i="76"/>
  <c r="AY7" i="76"/>
  <c r="AZ7" i="76"/>
  <c r="AW7" i="76"/>
  <c r="AT8" i="76"/>
  <c r="AV8" i="76"/>
  <c r="AS9" i="76"/>
  <c r="AX8" i="76"/>
  <c r="AY8" i="76"/>
  <c r="AZ8" i="76"/>
  <c r="AW8" i="76"/>
  <c r="AT9" i="76"/>
  <c r="AV9" i="76"/>
  <c r="AS10" i="76"/>
  <c r="AX9" i="76"/>
  <c r="AY9" i="76"/>
  <c r="AZ9" i="76"/>
  <c r="AW9" i="76"/>
  <c r="AT10" i="76"/>
  <c r="AV10" i="76"/>
  <c r="AS11" i="76"/>
  <c r="AX10" i="76"/>
  <c r="AY10" i="76"/>
  <c r="AZ10" i="76"/>
  <c r="AW10" i="76"/>
  <c r="AT11" i="76"/>
  <c r="AV11" i="76"/>
  <c r="AS12" i="76"/>
  <c r="AX11" i="76"/>
  <c r="AY11" i="76"/>
  <c r="AZ11" i="76"/>
  <c r="AW11" i="76"/>
  <c r="AT12" i="76"/>
  <c r="AV12" i="76"/>
  <c r="AS13" i="76"/>
  <c r="AX12" i="76"/>
  <c r="AY12" i="76"/>
  <c r="AZ12" i="76"/>
  <c r="AW12" i="76"/>
  <c r="AT13" i="76"/>
  <c r="AV13" i="76"/>
  <c r="AS14" i="76"/>
  <c r="AX13" i="76"/>
  <c r="AY13" i="76"/>
  <c r="AZ13" i="76"/>
  <c r="AW13" i="76"/>
  <c r="AT14" i="76"/>
  <c r="AV14" i="76"/>
  <c r="AS15" i="76"/>
  <c r="AX14" i="76"/>
  <c r="AY14" i="76"/>
  <c r="AZ14" i="76"/>
  <c r="AW14" i="76"/>
  <c r="AT15" i="76"/>
  <c r="AV15" i="76"/>
  <c r="AS16" i="76"/>
  <c r="AX15" i="76"/>
  <c r="AY15" i="76"/>
  <c r="AZ15" i="76"/>
  <c r="AW15" i="76"/>
  <c r="AT16" i="76"/>
  <c r="AV16" i="76"/>
  <c r="AS17" i="76"/>
  <c r="AX16" i="76"/>
  <c r="AY16" i="76"/>
  <c r="AZ16" i="76"/>
  <c r="AW16" i="76"/>
  <c r="AT17" i="76"/>
  <c r="AV17" i="76"/>
  <c r="AS18" i="76"/>
  <c r="AX17" i="76"/>
  <c r="AY17" i="76"/>
  <c r="AZ17" i="76"/>
  <c r="AW17" i="76"/>
  <c r="AT18" i="76"/>
  <c r="AV18" i="76"/>
  <c r="AS19" i="76"/>
  <c r="AX18" i="76"/>
  <c r="AY18" i="76"/>
  <c r="AZ18" i="76"/>
  <c r="AW18" i="76"/>
  <c r="AT19" i="76"/>
  <c r="AV19" i="76"/>
  <c r="AS20" i="76"/>
  <c r="AX19" i="76"/>
  <c r="AY19" i="76"/>
  <c r="AZ19" i="76"/>
  <c r="AW19" i="76"/>
  <c r="AT20" i="76"/>
  <c r="AV20" i="76"/>
  <c r="AS21" i="76"/>
  <c r="AX20" i="76"/>
  <c r="AY20" i="76"/>
  <c r="AZ20" i="76"/>
  <c r="AW20" i="76"/>
  <c r="AT21" i="76"/>
  <c r="AV21" i="76"/>
  <c r="AS22" i="76"/>
  <c r="AX21" i="76"/>
  <c r="AY21" i="76"/>
  <c r="AZ21" i="76"/>
  <c r="AW21" i="76"/>
  <c r="AT22" i="76"/>
  <c r="AV22" i="76"/>
  <c r="AS23" i="76"/>
  <c r="AX22" i="76"/>
  <c r="AY22" i="76"/>
  <c r="AZ22" i="76"/>
  <c r="AW22" i="76"/>
  <c r="AT23" i="76"/>
  <c r="AV23" i="76"/>
  <c r="AS24" i="76"/>
  <c r="AX23" i="76"/>
  <c r="AY23" i="76"/>
  <c r="AZ23" i="76"/>
  <c r="AZ5" i="76"/>
  <c r="BB5" i="76"/>
  <c r="AG5" i="5"/>
  <c r="AG6" i="5"/>
  <c r="AG7" i="5"/>
  <c r="AG8" i="5"/>
  <c r="AG9" i="5"/>
  <c r="AG10" i="5"/>
  <c r="AG11" i="5"/>
  <c r="AG12" i="5"/>
  <c r="AG13" i="5"/>
  <c r="AG14" i="5"/>
  <c r="AG15" i="5"/>
  <c r="AG16" i="5"/>
  <c r="AG19" i="5"/>
  <c r="G16" i="76"/>
  <c r="G10" i="69"/>
  <c r="AC5" i="5"/>
  <c r="AC6" i="5"/>
  <c r="AC7" i="5"/>
  <c r="AC8" i="5"/>
  <c r="AC9" i="5"/>
  <c r="AC10" i="5"/>
  <c r="AC11" i="5"/>
  <c r="AC12" i="5"/>
  <c r="AC13" i="5"/>
  <c r="AC14" i="5"/>
  <c r="AC15" i="5"/>
  <c r="AC16" i="5"/>
  <c r="AC19" i="5"/>
  <c r="G10" i="76"/>
  <c r="AE6" i="76"/>
  <c r="R5" i="76"/>
  <c r="S5" i="76"/>
  <c r="AE8" i="76"/>
  <c r="AS5" i="5"/>
  <c r="AS6" i="5"/>
  <c r="AS7" i="5"/>
  <c r="AS8" i="5"/>
  <c r="AS9" i="5"/>
  <c r="AS10" i="5"/>
  <c r="AS11" i="5"/>
  <c r="AS12" i="5"/>
  <c r="AS13" i="5"/>
  <c r="AS14" i="5"/>
  <c r="AS15" i="5"/>
  <c r="AS16" i="5"/>
  <c r="AS19" i="5"/>
  <c r="M18" i="76"/>
  <c r="AD5" i="5"/>
  <c r="AD6" i="5"/>
  <c r="AD7" i="5"/>
  <c r="AD8" i="5"/>
  <c r="AD9" i="5"/>
  <c r="AD10" i="5"/>
  <c r="AD11" i="5"/>
  <c r="AD12" i="5"/>
  <c r="AD13" i="5"/>
  <c r="AD14" i="5"/>
  <c r="AD15" i="5"/>
  <c r="AD16" i="5"/>
  <c r="AD19" i="5"/>
  <c r="G11" i="76"/>
  <c r="AB5" i="5"/>
  <c r="AB6" i="5"/>
  <c r="AB7" i="5"/>
  <c r="AB8" i="5"/>
  <c r="AB9" i="5"/>
  <c r="AB10" i="5"/>
  <c r="AB11" i="5"/>
  <c r="AB12" i="5"/>
  <c r="AB13" i="5"/>
  <c r="AB14" i="5"/>
  <c r="AB15" i="5"/>
  <c r="AB16" i="5"/>
  <c r="AB19" i="5"/>
  <c r="G9" i="76"/>
  <c r="AH5" i="5"/>
  <c r="AH6" i="5"/>
  <c r="AH7" i="5"/>
  <c r="AH8" i="5"/>
  <c r="AH9" i="5"/>
  <c r="AH10" i="5"/>
  <c r="AH11" i="5"/>
  <c r="AH12" i="5"/>
  <c r="AH13" i="5"/>
  <c r="AH14" i="5"/>
  <c r="AH15" i="5"/>
  <c r="AH16" i="5"/>
  <c r="AH19" i="5"/>
  <c r="G18" i="76"/>
  <c r="AA5" i="5"/>
  <c r="AA6" i="5"/>
  <c r="AA7" i="5"/>
  <c r="AA8" i="5"/>
  <c r="AA9" i="5"/>
  <c r="AA10" i="5"/>
  <c r="AA11" i="5"/>
  <c r="AA12" i="5"/>
  <c r="AA13" i="5"/>
  <c r="AA14" i="5"/>
  <c r="AA15" i="5"/>
  <c r="AA16" i="5"/>
  <c r="AA19" i="5"/>
  <c r="G8" i="76"/>
  <c r="Z5" i="5"/>
  <c r="Z6" i="5"/>
  <c r="Z7" i="5"/>
  <c r="Z8" i="5"/>
  <c r="Z9" i="5"/>
  <c r="G7" i="58"/>
  <c r="Z10" i="5"/>
  <c r="Z11" i="5"/>
  <c r="Z12" i="5"/>
  <c r="Z13" i="5"/>
  <c r="Z14" i="5"/>
  <c r="Z15" i="5"/>
  <c r="Z16" i="5"/>
  <c r="Z19" i="5"/>
  <c r="G7" i="76"/>
  <c r="T5" i="76"/>
  <c r="S37" i="76"/>
  <c r="R37" i="76"/>
  <c r="U11" i="76"/>
  <c r="AI5" i="5"/>
  <c r="AI6" i="5"/>
  <c r="AI7" i="5"/>
  <c r="AI8" i="5"/>
  <c r="AI9" i="5"/>
  <c r="AI10" i="5"/>
  <c r="AI11" i="5"/>
  <c r="AI12" i="5"/>
  <c r="AI13" i="5"/>
  <c r="AI14" i="5"/>
  <c r="AI15" i="5"/>
  <c r="AI16" i="5"/>
  <c r="AI19" i="5"/>
  <c r="J7" i="76"/>
  <c r="AB6" i="76"/>
  <c r="AB13" i="76"/>
  <c r="AO5" i="5"/>
  <c r="AO6" i="5"/>
  <c r="AO7" i="5"/>
  <c r="AO8" i="5"/>
  <c r="AO9" i="5"/>
  <c r="AO10" i="5"/>
  <c r="AO11" i="5"/>
  <c r="AO12" i="5"/>
  <c r="AO13" i="5"/>
  <c r="AO14" i="5"/>
  <c r="AO15" i="5"/>
  <c r="AO16" i="5"/>
  <c r="AO19" i="5"/>
  <c r="J14" i="76"/>
  <c r="AF5" i="5"/>
  <c r="AF6" i="5"/>
  <c r="AF7" i="5"/>
  <c r="AF8" i="5"/>
  <c r="AF9" i="5"/>
  <c r="AF10" i="5"/>
  <c r="AF11" i="5"/>
  <c r="AF12" i="5"/>
  <c r="AF13" i="5"/>
  <c r="AF14" i="5"/>
  <c r="AF15" i="5"/>
  <c r="AF16" i="5"/>
  <c r="AF19" i="5"/>
  <c r="G14" i="76"/>
  <c r="V5" i="76"/>
  <c r="AE5" i="5"/>
  <c r="AE6" i="5"/>
  <c r="AE7" i="5"/>
  <c r="AE8" i="5"/>
  <c r="AE9" i="5"/>
  <c r="AE10" i="5"/>
  <c r="AE11" i="5"/>
  <c r="AE12" i="5"/>
  <c r="AE13" i="5"/>
  <c r="AE14" i="5"/>
  <c r="AE15" i="5"/>
  <c r="AE16" i="5"/>
  <c r="AE19" i="5"/>
  <c r="G13" i="76"/>
  <c r="AQ5" i="5"/>
  <c r="AQ6" i="5"/>
  <c r="AQ7" i="5"/>
  <c r="AQ8" i="5"/>
  <c r="AQ9" i="5"/>
  <c r="AQ10" i="5"/>
  <c r="J16" i="74"/>
  <c r="AQ11" i="5"/>
  <c r="AQ12" i="5"/>
  <c r="AQ13" i="5"/>
  <c r="AQ14" i="5"/>
  <c r="AQ15" i="5"/>
  <c r="AQ16" i="5"/>
  <c r="AQ19" i="5"/>
  <c r="J16" i="76"/>
  <c r="AK5" i="5"/>
  <c r="AK6" i="5"/>
  <c r="AK7" i="5"/>
  <c r="AK8" i="5"/>
  <c r="AK9" i="5"/>
  <c r="AK10" i="5"/>
  <c r="AK11" i="5"/>
  <c r="AK12" i="5"/>
  <c r="AK13" i="5"/>
  <c r="AK14" i="5"/>
  <c r="AK15" i="5"/>
  <c r="AK16" i="5"/>
  <c r="AK19" i="5"/>
  <c r="J9" i="76"/>
  <c r="J11" i="69"/>
  <c r="AM5" i="5"/>
  <c r="AM6" i="5"/>
  <c r="AM7" i="5"/>
  <c r="AM8" i="5"/>
  <c r="AM9" i="5"/>
  <c r="AM10" i="5"/>
  <c r="AM11" i="5"/>
  <c r="AM12" i="5"/>
  <c r="AM13" i="5"/>
  <c r="AM14" i="5"/>
  <c r="AM15" i="5"/>
  <c r="AM16" i="5"/>
  <c r="AM19" i="5"/>
  <c r="J11" i="76"/>
  <c r="S9" i="76"/>
  <c r="T9" i="76"/>
  <c r="S16" i="76"/>
  <c r="AJ5" i="5"/>
  <c r="AJ6" i="5"/>
  <c r="AJ7" i="5"/>
  <c r="AJ8" i="5"/>
  <c r="AJ9" i="5"/>
  <c r="AJ10" i="5"/>
  <c r="AJ11" i="5"/>
  <c r="AJ12" i="5"/>
  <c r="AJ13" i="5"/>
  <c r="AJ14" i="5"/>
  <c r="AJ15" i="5"/>
  <c r="AJ16" i="5"/>
  <c r="AJ19" i="5"/>
  <c r="J8" i="76"/>
  <c r="AB7" i="76"/>
  <c r="AB14" i="76"/>
  <c r="AP5" i="5"/>
  <c r="AP6" i="5"/>
  <c r="AP7" i="5"/>
  <c r="AP8" i="5"/>
  <c r="AP9" i="5"/>
  <c r="AP10" i="5"/>
  <c r="AP11" i="5"/>
  <c r="AP12" i="5"/>
  <c r="AP13" i="5"/>
  <c r="AP14" i="5"/>
  <c r="AP15" i="5"/>
  <c r="AP16" i="5"/>
  <c r="AP19" i="5"/>
  <c r="J15" i="76"/>
  <c r="AR5" i="5"/>
  <c r="AR6" i="5"/>
  <c r="AR7" i="5"/>
  <c r="AR8" i="5"/>
  <c r="AR9" i="5"/>
  <c r="AR10" i="5"/>
  <c r="AR11" i="5"/>
  <c r="AR12" i="5"/>
  <c r="AR13" i="5"/>
  <c r="AR14" i="5"/>
  <c r="AR15" i="5"/>
  <c r="AR16" i="5"/>
  <c r="AR19" i="5"/>
  <c r="J17" i="76"/>
  <c r="AL5" i="5"/>
  <c r="AL6" i="5"/>
  <c r="AL7" i="5"/>
  <c r="AL8" i="5"/>
  <c r="AL9" i="5"/>
  <c r="AL10" i="5"/>
  <c r="AL11" i="5"/>
  <c r="AL12" i="5"/>
  <c r="AL13" i="5"/>
  <c r="AL14" i="5"/>
  <c r="AL15" i="5"/>
  <c r="AL16" i="5"/>
  <c r="AL19" i="5"/>
  <c r="J10" i="76"/>
  <c r="AN5" i="5"/>
  <c r="AN6" i="5"/>
  <c r="AN7" i="5"/>
  <c r="AN8" i="5"/>
  <c r="AN9" i="5"/>
  <c r="AN10" i="5"/>
  <c r="AN11" i="5"/>
  <c r="AN12" i="5"/>
  <c r="AN13" i="5"/>
  <c r="AN14" i="5"/>
  <c r="AN15" i="5"/>
  <c r="AN16" i="5"/>
  <c r="AN19" i="5"/>
  <c r="J18" i="76"/>
  <c r="S10" i="76"/>
  <c r="T10" i="76"/>
  <c r="T16" i="76"/>
  <c r="AB8" i="76"/>
  <c r="AB15" i="76"/>
  <c r="T11" i="76"/>
  <c r="V16" i="76"/>
  <c r="S17" i="76"/>
  <c r="T17" i="76"/>
  <c r="V17" i="76"/>
  <c r="S18" i="76"/>
  <c r="T18" i="76"/>
  <c r="V18" i="76"/>
  <c r="AW23" i="76"/>
  <c r="AT24" i="76"/>
  <c r="AV24" i="76"/>
  <c r="AW24" i="76"/>
  <c r="AS25" i="76"/>
  <c r="AX24" i="76"/>
  <c r="AY24" i="76"/>
  <c r="AZ24" i="76"/>
  <c r="AZ25" i="76"/>
  <c r="AS26" i="76"/>
  <c r="AZ26" i="76"/>
  <c r="AS27" i="76"/>
  <c r="AZ27" i="76"/>
  <c r="AS28" i="76"/>
  <c r="AZ28" i="76"/>
  <c r="AS29" i="76"/>
  <c r="AZ29" i="76"/>
  <c r="AS30" i="76"/>
  <c r="AZ30" i="76"/>
  <c r="AS33" i="76"/>
  <c r="AZ33" i="76"/>
  <c r="AS35" i="76"/>
  <c r="AZ35" i="76"/>
  <c r="AS36" i="76"/>
  <c r="AZ36" i="76"/>
  <c r="AS37" i="76"/>
  <c r="AZ37" i="76"/>
  <c r="AS38" i="76"/>
  <c r="AZ38" i="76"/>
  <c r="AS39" i="76"/>
  <c r="AZ39" i="76"/>
  <c r="AS40" i="76"/>
  <c r="AZ40" i="76"/>
  <c r="AS41" i="76"/>
  <c r="AZ41" i="76"/>
  <c r="AS42" i="76"/>
  <c r="AZ42" i="76"/>
  <c r="AS43" i="76"/>
  <c r="AZ43" i="76"/>
  <c r="AS44" i="76"/>
  <c r="AZ44" i="76"/>
  <c r="AS45" i="76"/>
  <c r="AZ45" i="76"/>
  <c r="AS46" i="76"/>
  <c r="AZ46" i="76"/>
  <c r="AS47" i="76"/>
  <c r="AZ47" i="76"/>
  <c r="AS48" i="76"/>
  <c r="AZ48" i="76"/>
  <c r="AS49" i="76"/>
  <c r="AZ49" i="76"/>
  <c r="AS50" i="76"/>
  <c r="AZ50" i="76"/>
  <c r="AS51" i="76"/>
  <c r="AZ51" i="76"/>
  <c r="AS52" i="76"/>
  <c r="AZ52" i="76"/>
  <c r="AS53" i="76"/>
  <c r="AZ53" i="76"/>
  <c r="AS54" i="76"/>
  <c r="AZ54" i="76"/>
  <c r="AS55" i="76"/>
  <c r="AZ55" i="76"/>
  <c r="AS56" i="76"/>
  <c r="AZ56" i="76"/>
  <c r="AS57" i="76"/>
  <c r="AZ57" i="76"/>
  <c r="AS58" i="76"/>
  <c r="AZ58" i="76"/>
  <c r="AS59" i="76"/>
  <c r="AZ59" i="76"/>
  <c r="AS60" i="76"/>
  <c r="AZ60" i="76"/>
  <c r="AS61" i="76"/>
  <c r="AZ61" i="76"/>
  <c r="AS62" i="76"/>
  <c r="AZ62" i="76"/>
  <c r="AS63" i="76"/>
  <c r="AZ63" i="76"/>
  <c r="AS64" i="76"/>
  <c r="AZ64" i="76"/>
  <c r="AS65" i="76"/>
  <c r="AZ65" i="76"/>
  <c r="AS66" i="76"/>
  <c r="AZ66" i="76"/>
  <c r="AS67" i="76"/>
  <c r="AZ67" i="76"/>
  <c r="AS68" i="76"/>
  <c r="AZ68" i="76"/>
  <c r="AS69" i="76"/>
  <c r="AZ69" i="76"/>
  <c r="AS70" i="76"/>
  <c r="AZ70" i="76"/>
  <c r="AS71" i="76"/>
  <c r="AZ71" i="76"/>
  <c r="AS72" i="76"/>
  <c r="AZ72" i="76"/>
  <c r="AS73" i="76"/>
  <c r="AZ73" i="76"/>
  <c r="AS74" i="76"/>
  <c r="AZ74" i="76"/>
  <c r="AS75" i="76"/>
  <c r="AZ75" i="76"/>
  <c r="AS76" i="76"/>
  <c r="AZ76" i="76"/>
  <c r="AS77" i="76"/>
  <c r="AZ77" i="76"/>
  <c r="AS78" i="76"/>
  <c r="AZ78" i="76"/>
  <c r="AS79" i="76"/>
  <c r="AZ79" i="76"/>
  <c r="AS80" i="76"/>
  <c r="AZ80" i="76"/>
  <c r="AS81" i="76"/>
  <c r="AZ81" i="76"/>
  <c r="AS82" i="76"/>
  <c r="AZ82" i="76"/>
  <c r="AS83" i="76"/>
  <c r="AZ83" i="76"/>
  <c r="AS84" i="76"/>
  <c r="AZ84" i="76"/>
  <c r="AS85" i="76"/>
  <c r="AZ85" i="76"/>
  <c r="AS86" i="76"/>
  <c r="AZ86" i="76"/>
  <c r="AS87" i="76"/>
  <c r="AZ87" i="76"/>
  <c r="AS88" i="76"/>
  <c r="AZ88" i="76"/>
  <c r="AS89" i="76"/>
  <c r="AZ89" i="76"/>
  <c r="AS90" i="76"/>
  <c r="AZ90" i="76"/>
  <c r="AS91" i="76"/>
  <c r="AZ91" i="76"/>
  <c r="AS92" i="76"/>
  <c r="AZ92" i="76"/>
  <c r="AS93" i="76"/>
  <c r="AZ93" i="76"/>
  <c r="AS94" i="76"/>
  <c r="AZ94" i="76"/>
  <c r="AS95" i="76"/>
  <c r="AZ95" i="76"/>
  <c r="AS96" i="76"/>
  <c r="AZ96" i="76"/>
  <c r="AS97" i="76"/>
  <c r="AZ97" i="76"/>
  <c r="AS98" i="76"/>
  <c r="AZ98" i="76"/>
  <c r="AS99" i="76"/>
  <c r="AZ99" i="76"/>
  <c r="AS100" i="76"/>
  <c r="AZ100" i="76"/>
  <c r="AS101" i="76"/>
  <c r="AZ101" i="76"/>
  <c r="AS102" i="76"/>
  <c r="AZ102" i="76"/>
  <c r="AS103" i="76"/>
  <c r="AZ103" i="76"/>
  <c r="AS104" i="76"/>
  <c r="AZ104" i="76"/>
  <c r="AS105" i="76"/>
  <c r="AZ105" i="76"/>
  <c r="AS106" i="76"/>
  <c r="AZ106" i="76"/>
  <c r="AS107" i="76"/>
  <c r="AZ107" i="76"/>
  <c r="AS108" i="76"/>
  <c r="AZ108" i="76"/>
  <c r="AS109" i="76"/>
  <c r="AZ109" i="76"/>
  <c r="AS110" i="76"/>
  <c r="AZ110" i="76"/>
  <c r="AS111" i="76"/>
  <c r="AZ111" i="76"/>
  <c r="AS112" i="76"/>
  <c r="AZ112" i="76"/>
  <c r="AS113" i="76"/>
  <c r="AZ113" i="76"/>
  <c r="AS114" i="76"/>
  <c r="AZ114" i="76"/>
  <c r="AX4" i="76"/>
  <c r="AY4" i="76"/>
  <c r="AZ4" i="76"/>
  <c r="S14" i="76"/>
  <c r="Y5" i="5"/>
  <c r="Y6" i="5"/>
  <c r="Y7" i="5"/>
  <c r="Y8" i="5"/>
  <c r="Y9" i="5"/>
  <c r="Y10" i="5"/>
  <c r="Y11" i="5"/>
  <c r="Y12" i="5"/>
  <c r="Y13" i="5"/>
  <c r="Y14" i="5"/>
  <c r="Y15" i="5"/>
  <c r="Y16" i="5"/>
  <c r="Y19" i="5"/>
  <c r="D16" i="76"/>
  <c r="BA5" i="76"/>
  <c r="R14" i="76"/>
  <c r="T14" i="76"/>
  <c r="V14" i="76"/>
  <c r="S19" i="76"/>
  <c r="T19" i="76"/>
  <c r="V19" i="76"/>
  <c r="W19" i="76"/>
  <c r="S23" i="76"/>
  <c r="S24" i="76"/>
  <c r="W24" i="76"/>
  <c r="S25" i="76"/>
  <c r="W25" i="76"/>
  <c r="AT25" i="76"/>
  <c r="AV25" i="76"/>
  <c r="AW25" i="76"/>
  <c r="AX25" i="76"/>
  <c r="AY25" i="76"/>
  <c r="R6" i="76"/>
  <c r="S6" i="76"/>
  <c r="T6" i="76"/>
  <c r="S12" i="76"/>
  <c r="T12" i="76"/>
  <c r="S26" i="76"/>
  <c r="W26" i="76"/>
  <c r="AT26" i="76"/>
  <c r="AV26" i="76"/>
  <c r="AW26" i="76"/>
  <c r="AX26" i="76"/>
  <c r="AY26" i="76"/>
  <c r="I24" i="76"/>
  <c r="I21" i="76"/>
  <c r="G27" i="76"/>
  <c r="S27" i="76"/>
  <c r="W27" i="76"/>
  <c r="AT27" i="76"/>
  <c r="AV27" i="76"/>
  <c r="AW27" i="76"/>
  <c r="AX27" i="76"/>
  <c r="AY27" i="76"/>
  <c r="I22" i="76"/>
  <c r="G28" i="76"/>
  <c r="AT28" i="76"/>
  <c r="AV28" i="76"/>
  <c r="AW28" i="76"/>
  <c r="AX28" i="76"/>
  <c r="AY28" i="76"/>
  <c r="W33" i="76"/>
  <c r="S29" i="76"/>
  <c r="W29" i="76"/>
  <c r="AT29" i="76"/>
  <c r="AV29" i="76"/>
  <c r="AW29" i="76"/>
  <c r="AX29" i="76"/>
  <c r="AY29" i="76"/>
  <c r="S30" i="76"/>
  <c r="W30" i="76"/>
  <c r="AT30" i="76"/>
  <c r="AV30" i="76"/>
  <c r="AW30" i="76"/>
  <c r="AX30" i="76"/>
  <c r="AY30" i="76"/>
  <c r="S31" i="76"/>
  <c r="W31" i="76"/>
  <c r="AT33" i="76"/>
  <c r="AV33" i="76"/>
  <c r="AW33" i="76"/>
  <c r="AX33" i="76"/>
  <c r="AY33" i="76"/>
  <c r="AT35" i="76"/>
  <c r="AV35" i="76"/>
  <c r="AW35" i="76"/>
  <c r="AX35" i="76"/>
  <c r="AY35" i="76"/>
  <c r="AT36" i="76"/>
  <c r="AV36" i="76"/>
  <c r="AW36" i="76"/>
  <c r="AX36" i="76"/>
  <c r="AY36" i="76"/>
  <c r="AT37" i="76"/>
  <c r="AV37" i="76"/>
  <c r="AW37" i="76"/>
  <c r="AX37" i="76"/>
  <c r="AY37" i="76"/>
  <c r="AT38" i="76"/>
  <c r="AV38" i="76"/>
  <c r="AW38" i="76"/>
  <c r="AX38" i="76"/>
  <c r="AY38" i="76"/>
  <c r="AT39" i="76"/>
  <c r="AV39" i="76"/>
  <c r="AW39" i="76"/>
  <c r="AX39" i="76"/>
  <c r="AY39" i="76"/>
  <c r="AT40" i="76"/>
  <c r="AV40" i="76"/>
  <c r="AW40" i="76"/>
  <c r="AX40" i="76"/>
  <c r="AY40" i="76"/>
  <c r="AT41" i="76"/>
  <c r="AV41" i="76"/>
  <c r="AW41" i="76"/>
  <c r="AX41" i="76"/>
  <c r="AY41" i="76"/>
  <c r="AT42" i="76"/>
  <c r="AV42" i="76"/>
  <c r="AW42" i="76"/>
  <c r="AX42" i="76"/>
  <c r="AY42" i="76"/>
  <c r="AT43" i="76"/>
  <c r="AV43" i="76"/>
  <c r="AW43" i="76"/>
  <c r="AX43" i="76"/>
  <c r="AY43" i="76"/>
  <c r="AT44" i="76"/>
  <c r="AV44" i="76"/>
  <c r="AW44" i="76"/>
  <c r="AX44" i="76"/>
  <c r="AY44" i="76"/>
  <c r="AT45" i="76"/>
  <c r="AV45" i="76"/>
  <c r="AW45" i="76"/>
  <c r="AX45" i="76"/>
  <c r="AY45" i="76"/>
  <c r="AT46" i="76"/>
  <c r="AV46" i="76"/>
  <c r="AW46" i="76"/>
  <c r="AX46" i="76"/>
  <c r="AY46" i="76"/>
  <c r="AT47" i="76"/>
  <c r="AV47" i="76"/>
  <c r="AW47" i="76"/>
  <c r="AX47" i="76"/>
  <c r="AY47" i="76"/>
  <c r="AT48" i="76"/>
  <c r="AV48" i="76"/>
  <c r="AW48" i="76"/>
  <c r="AX48" i="76"/>
  <c r="AY48" i="76"/>
  <c r="AT49" i="76"/>
  <c r="AV49" i="76"/>
  <c r="AW49" i="76"/>
  <c r="AX49" i="76"/>
  <c r="AY49" i="76"/>
  <c r="AT50" i="76"/>
  <c r="AV50" i="76"/>
  <c r="AW50" i="76"/>
  <c r="AX50" i="76"/>
  <c r="AY50" i="76"/>
  <c r="AT51" i="76"/>
  <c r="AV51" i="76"/>
  <c r="AW51" i="76"/>
  <c r="AX51" i="76"/>
  <c r="AY51" i="76"/>
  <c r="AT52" i="76"/>
  <c r="AV52" i="76"/>
  <c r="AW52" i="76"/>
  <c r="AX52" i="76"/>
  <c r="AY52" i="76"/>
  <c r="AT53" i="76"/>
  <c r="AV53" i="76"/>
  <c r="AW53" i="76"/>
  <c r="AX53" i="76"/>
  <c r="AY53" i="76"/>
  <c r="AT54" i="76"/>
  <c r="AV54" i="76"/>
  <c r="AW54" i="76"/>
  <c r="AX54" i="76"/>
  <c r="AY54" i="76"/>
  <c r="AT55" i="76"/>
  <c r="AV55" i="76"/>
  <c r="AW55" i="76"/>
  <c r="AX55" i="76"/>
  <c r="AY55" i="76"/>
  <c r="AT56" i="76"/>
  <c r="AV56" i="76"/>
  <c r="AW56" i="76"/>
  <c r="AX56" i="76"/>
  <c r="AY56" i="76"/>
  <c r="AT57" i="76"/>
  <c r="AV57" i="76"/>
  <c r="AW57" i="76"/>
  <c r="AX57" i="76"/>
  <c r="AY57" i="76"/>
  <c r="AT58" i="76"/>
  <c r="AV58" i="76"/>
  <c r="AW58" i="76"/>
  <c r="AX58" i="76"/>
  <c r="AY58" i="76"/>
  <c r="AT59" i="76"/>
  <c r="AV59" i="76"/>
  <c r="AW59" i="76"/>
  <c r="AX59" i="76"/>
  <c r="AY59" i="76"/>
  <c r="AT60" i="76"/>
  <c r="AV60" i="76"/>
  <c r="AW60" i="76"/>
  <c r="AX60" i="76"/>
  <c r="AY60" i="76"/>
  <c r="AT61" i="76"/>
  <c r="AV61" i="76"/>
  <c r="AW61" i="76"/>
  <c r="AX61" i="76"/>
  <c r="AY61" i="76"/>
  <c r="AT62" i="76"/>
  <c r="AV62" i="76"/>
  <c r="AW62" i="76"/>
  <c r="AX62" i="76"/>
  <c r="AY62" i="76"/>
  <c r="AT63" i="76"/>
  <c r="AV63" i="76"/>
  <c r="AW63" i="76"/>
  <c r="AX63" i="76"/>
  <c r="AY63" i="76"/>
  <c r="AT64" i="76"/>
  <c r="AV64" i="76"/>
  <c r="AW64" i="76"/>
  <c r="AX64" i="76"/>
  <c r="AY64" i="76"/>
  <c r="AT65" i="76"/>
  <c r="AV65" i="76"/>
  <c r="AW65" i="76"/>
  <c r="AX65" i="76"/>
  <c r="AY65" i="76"/>
  <c r="AT66" i="76"/>
  <c r="AV66" i="76"/>
  <c r="AW66" i="76"/>
  <c r="AX66" i="76"/>
  <c r="AY66" i="76"/>
  <c r="AT67" i="76"/>
  <c r="AV67" i="76"/>
  <c r="AW67" i="76"/>
  <c r="AX67" i="76"/>
  <c r="AY67" i="76"/>
  <c r="AT68" i="76"/>
  <c r="AV68" i="76"/>
  <c r="AW68" i="76"/>
  <c r="AX68" i="76"/>
  <c r="AY68" i="76"/>
  <c r="AT69" i="76"/>
  <c r="AV69" i="76"/>
  <c r="AW69" i="76"/>
  <c r="AX69" i="76"/>
  <c r="AY69" i="76"/>
  <c r="AT70" i="76"/>
  <c r="AV70" i="76"/>
  <c r="AW70" i="76"/>
  <c r="AX70" i="76"/>
  <c r="AY70" i="76"/>
  <c r="AT71" i="76"/>
  <c r="AV71" i="76"/>
  <c r="AW71" i="76"/>
  <c r="AX71" i="76"/>
  <c r="AY71" i="76"/>
  <c r="AT72" i="76"/>
  <c r="AV72" i="76"/>
  <c r="AW72" i="76"/>
  <c r="AX72" i="76"/>
  <c r="AY72" i="76"/>
  <c r="AT73" i="76"/>
  <c r="AV73" i="76"/>
  <c r="AW73" i="76"/>
  <c r="AX73" i="76"/>
  <c r="AY73" i="76"/>
  <c r="AT74" i="76"/>
  <c r="AV74" i="76"/>
  <c r="AW74" i="76"/>
  <c r="AX74" i="76"/>
  <c r="AY74" i="76"/>
  <c r="AT75" i="76"/>
  <c r="AV75" i="76"/>
  <c r="AW75" i="76"/>
  <c r="AX75" i="76"/>
  <c r="AY75" i="76"/>
  <c r="AT76" i="76"/>
  <c r="AV76" i="76"/>
  <c r="AW76" i="76"/>
  <c r="AX76" i="76"/>
  <c r="AY76" i="76"/>
  <c r="AT77" i="76"/>
  <c r="AV77" i="76"/>
  <c r="AW77" i="76"/>
  <c r="AX77" i="76"/>
  <c r="AY77" i="76"/>
  <c r="AT78" i="76"/>
  <c r="AV78" i="76"/>
  <c r="AW78" i="76"/>
  <c r="AX78" i="76"/>
  <c r="AY78" i="76"/>
  <c r="AT79" i="76"/>
  <c r="AV79" i="76"/>
  <c r="AW79" i="76"/>
  <c r="AX79" i="76"/>
  <c r="AY79" i="76"/>
  <c r="AT80" i="76"/>
  <c r="AV80" i="76"/>
  <c r="AW80" i="76"/>
  <c r="AX80" i="76"/>
  <c r="AY80" i="76"/>
  <c r="AT81" i="76"/>
  <c r="AV81" i="76"/>
  <c r="AW81" i="76"/>
  <c r="AX81" i="76"/>
  <c r="AY81" i="76"/>
  <c r="AT82" i="76"/>
  <c r="AV82" i="76"/>
  <c r="AW82" i="76"/>
  <c r="AX82" i="76"/>
  <c r="AY82" i="76"/>
  <c r="AT83" i="76"/>
  <c r="AV83" i="76"/>
  <c r="AW83" i="76"/>
  <c r="AX83" i="76"/>
  <c r="AY83" i="76"/>
  <c r="AT84" i="76"/>
  <c r="AV84" i="76"/>
  <c r="AW84" i="76"/>
  <c r="AX84" i="76"/>
  <c r="AY84" i="76"/>
  <c r="AT85" i="76"/>
  <c r="AV85" i="76"/>
  <c r="AW85" i="76"/>
  <c r="AX85" i="76"/>
  <c r="AY85" i="76"/>
  <c r="AT86" i="76"/>
  <c r="AV86" i="76"/>
  <c r="AW86" i="76"/>
  <c r="AX86" i="76"/>
  <c r="AY86" i="76"/>
  <c r="AT87" i="76"/>
  <c r="AV87" i="76"/>
  <c r="AW87" i="76"/>
  <c r="AX87" i="76"/>
  <c r="AY87" i="76"/>
  <c r="AT88" i="76"/>
  <c r="AV88" i="76"/>
  <c r="AW88" i="76"/>
  <c r="AX88" i="76"/>
  <c r="AY88" i="76"/>
  <c r="AT89" i="76"/>
  <c r="AV89" i="76"/>
  <c r="AW89" i="76"/>
  <c r="AX89" i="76"/>
  <c r="AY89" i="76"/>
  <c r="AT90" i="76"/>
  <c r="AV90" i="76"/>
  <c r="AW90" i="76"/>
  <c r="AX90" i="76"/>
  <c r="AY90" i="76"/>
  <c r="AT91" i="76"/>
  <c r="AV91" i="76"/>
  <c r="AW91" i="76"/>
  <c r="AX91" i="76"/>
  <c r="AY91" i="76"/>
  <c r="AT92" i="76"/>
  <c r="AV92" i="76"/>
  <c r="AW92" i="76"/>
  <c r="AX92" i="76"/>
  <c r="AY92" i="76"/>
  <c r="AT93" i="76"/>
  <c r="AV93" i="76"/>
  <c r="AW93" i="76"/>
  <c r="AX93" i="76"/>
  <c r="AY93" i="76"/>
  <c r="AT94" i="76"/>
  <c r="AV94" i="76"/>
  <c r="AW94" i="76"/>
  <c r="AX94" i="76"/>
  <c r="AY94" i="76"/>
  <c r="AT95" i="76"/>
  <c r="AV95" i="76"/>
  <c r="AW95" i="76"/>
  <c r="AX95" i="76"/>
  <c r="AY95" i="76"/>
  <c r="AT96" i="76"/>
  <c r="AV96" i="76"/>
  <c r="AW96" i="76"/>
  <c r="AX96" i="76"/>
  <c r="AY96" i="76"/>
  <c r="AT97" i="76"/>
  <c r="AV97" i="76"/>
  <c r="AW97" i="76"/>
  <c r="AX97" i="76"/>
  <c r="AY97" i="76"/>
  <c r="AT98" i="76"/>
  <c r="AV98" i="76"/>
  <c r="AW98" i="76"/>
  <c r="AX98" i="76"/>
  <c r="AY98" i="76"/>
  <c r="AT99" i="76"/>
  <c r="AV99" i="76"/>
  <c r="AW99" i="76"/>
  <c r="AX99" i="76"/>
  <c r="AY99" i="76"/>
  <c r="AT100" i="76"/>
  <c r="AV100" i="76"/>
  <c r="AW100" i="76"/>
  <c r="AX100" i="76"/>
  <c r="AY100" i="76"/>
  <c r="AT101" i="76"/>
  <c r="AV101" i="76"/>
  <c r="AW101" i="76"/>
  <c r="AX101" i="76"/>
  <c r="AY101" i="76"/>
  <c r="AT102" i="76"/>
  <c r="AV102" i="76"/>
  <c r="AW102" i="76"/>
  <c r="AX102" i="76"/>
  <c r="AY102" i="76"/>
  <c r="AT103" i="76"/>
  <c r="AV103" i="76"/>
  <c r="AW103" i="76"/>
  <c r="AX103" i="76"/>
  <c r="AY103" i="76"/>
  <c r="AT104" i="76"/>
  <c r="AV104" i="76"/>
  <c r="AW104" i="76"/>
  <c r="AX104" i="76"/>
  <c r="AY104" i="76"/>
  <c r="AT105" i="76"/>
  <c r="AV105" i="76"/>
  <c r="AW105" i="76"/>
  <c r="AX105" i="76"/>
  <c r="AY105" i="76"/>
  <c r="AT106" i="76"/>
  <c r="AV106" i="76"/>
  <c r="AW106" i="76"/>
  <c r="AX106" i="76"/>
  <c r="AY106" i="76"/>
  <c r="AT107" i="76"/>
  <c r="AV107" i="76"/>
  <c r="AW107" i="76"/>
  <c r="AX107" i="76"/>
  <c r="AY107" i="76"/>
  <c r="AT108" i="76"/>
  <c r="AV108" i="76"/>
  <c r="AW108" i="76"/>
  <c r="AX108" i="76"/>
  <c r="AY108" i="76"/>
  <c r="AT109" i="76"/>
  <c r="AV109" i="76"/>
  <c r="AW109" i="76"/>
  <c r="AX109" i="76"/>
  <c r="AY109" i="76"/>
  <c r="AT110" i="76"/>
  <c r="AV110" i="76"/>
  <c r="AW110" i="76"/>
  <c r="AX110" i="76"/>
  <c r="AY110" i="76"/>
  <c r="AT111" i="76"/>
  <c r="AV111" i="76"/>
  <c r="AW111" i="76"/>
  <c r="AX111" i="76"/>
  <c r="AY111" i="76"/>
  <c r="AT112" i="76"/>
  <c r="AV112" i="76"/>
  <c r="AW112" i="76"/>
  <c r="AX112" i="76"/>
  <c r="AY112" i="76"/>
  <c r="AT113" i="76"/>
  <c r="AV113" i="76"/>
  <c r="AW113" i="76"/>
  <c r="AX113" i="76"/>
  <c r="AY113" i="76"/>
  <c r="AT114" i="76"/>
  <c r="AW114" i="76"/>
  <c r="AV114" i="76"/>
  <c r="AX114" i="76"/>
  <c r="AY114" i="76"/>
  <c r="I25" i="76"/>
  <c r="V9" i="76"/>
  <c r="I31" i="76"/>
  <c r="V10" i="76"/>
  <c r="I32" i="76"/>
  <c r="W16" i="76"/>
  <c r="W17" i="76"/>
  <c r="W18" i="76"/>
  <c r="V11" i="76"/>
  <c r="I33" i="76"/>
  <c r="D37" i="69"/>
  <c r="R5" i="69"/>
  <c r="S5" i="69"/>
  <c r="G37" i="69"/>
  <c r="T5" i="69"/>
  <c r="U37" i="69"/>
  <c r="AB6" i="69"/>
  <c r="AB13" i="69"/>
  <c r="V5" i="69"/>
  <c r="S9" i="69"/>
  <c r="T9" i="69"/>
  <c r="I21" i="69"/>
  <c r="AB7" i="69"/>
  <c r="AB14" i="69"/>
  <c r="S10" i="69"/>
  <c r="T10" i="69"/>
  <c r="I22" i="69"/>
  <c r="W37" i="69"/>
  <c r="V37" i="69"/>
  <c r="R6" i="69"/>
  <c r="S6" i="69"/>
  <c r="T6" i="69"/>
  <c r="S12" i="69"/>
  <c r="T12" i="69"/>
  <c r="I23" i="69"/>
  <c r="Q37" i="69"/>
  <c r="AT4" i="69"/>
  <c r="AU4" i="69"/>
  <c r="AT5" i="69"/>
  <c r="AV5" i="69"/>
  <c r="AS5" i="69"/>
  <c r="AS6" i="69"/>
  <c r="AX5" i="69"/>
  <c r="J37" i="69"/>
  <c r="AY5" i="69"/>
  <c r="AZ5" i="69"/>
  <c r="AW5" i="69"/>
  <c r="AT6" i="69"/>
  <c r="AV6" i="69"/>
  <c r="AS7" i="69"/>
  <c r="AX6" i="69"/>
  <c r="AY6" i="69"/>
  <c r="AZ6" i="69"/>
  <c r="AW6" i="69"/>
  <c r="AT7" i="69"/>
  <c r="AV7" i="69"/>
  <c r="AS8" i="69"/>
  <c r="AX7" i="69"/>
  <c r="AY7" i="69"/>
  <c r="AZ7" i="69"/>
  <c r="AW7" i="69"/>
  <c r="AT8" i="69"/>
  <c r="AV8" i="69"/>
  <c r="AS9" i="69"/>
  <c r="AX8" i="69"/>
  <c r="AY8" i="69"/>
  <c r="AZ8" i="69"/>
  <c r="AW8" i="69"/>
  <c r="AT9" i="69"/>
  <c r="AV9" i="69"/>
  <c r="AS10" i="69"/>
  <c r="AX9" i="69"/>
  <c r="AY9" i="69"/>
  <c r="AZ9" i="69"/>
  <c r="AW9" i="69"/>
  <c r="AT10" i="69"/>
  <c r="AV10" i="69"/>
  <c r="AS11" i="69"/>
  <c r="AX10" i="69"/>
  <c r="AY10" i="69"/>
  <c r="AZ10" i="69"/>
  <c r="AW10" i="69"/>
  <c r="AT11" i="69"/>
  <c r="AV11" i="69"/>
  <c r="AS12" i="69"/>
  <c r="AX11" i="69"/>
  <c r="AY11" i="69"/>
  <c r="AZ11" i="69"/>
  <c r="AW11" i="69"/>
  <c r="AT12" i="69"/>
  <c r="AV12" i="69"/>
  <c r="AS13" i="69"/>
  <c r="AX12" i="69"/>
  <c r="AY12" i="69"/>
  <c r="AZ12" i="69"/>
  <c r="AW12" i="69"/>
  <c r="AT13" i="69"/>
  <c r="AV13" i="69"/>
  <c r="AS14" i="69"/>
  <c r="AX13" i="69"/>
  <c r="AY13" i="69"/>
  <c r="AZ13" i="69"/>
  <c r="AW13" i="69"/>
  <c r="AT14" i="69"/>
  <c r="AV14" i="69"/>
  <c r="AS15" i="69"/>
  <c r="AX14" i="69"/>
  <c r="AY14" i="69"/>
  <c r="AZ14" i="69"/>
  <c r="AW14" i="69"/>
  <c r="AT15" i="69"/>
  <c r="AV15" i="69"/>
  <c r="AS16" i="69"/>
  <c r="AX15" i="69"/>
  <c r="AY15" i="69"/>
  <c r="AZ15" i="69"/>
  <c r="AW15" i="69"/>
  <c r="AT16" i="69"/>
  <c r="AV16" i="69"/>
  <c r="AS17" i="69"/>
  <c r="AX16" i="69"/>
  <c r="AY16" i="69"/>
  <c r="AZ16" i="69"/>
  <c r="AW16" i="69"/>
  <c r="AT17" i="69"/>
  <c r="AV17" i="69"/>
  <c r="AS18" i="69"/>
  <c r="AX17" i="69"/>
  <c r="AY17" i="69"/>
  <c r="AZ17" i="69"/>
  <c r="AW17" i="69"/>
  <c r="AT18" i="69"/>
  <c r="AV18" i="69"/>
  <c r="AS19" i="69"/>
  <c r="AX18" i="69"/>
  <c r="AY18" i="69"/>
  <c r="AZ18" i="69"/>
  <c r="AW18" i="69"/>
  <c r="AT19" i="69"/>
  <c r="AV19" i="69"/>
  <c r="AS20" i="69"/>
  <c r="AX19" i="69"/>
  <c r="AY19" i="69"/>
  <c r="AZ19" i="69"/>
  <c r="AW19" i="69"/>
  <c r="AT20" i="69"/>
  <c r="AV20" i="69"/>
  <c r="AS21" i="69"/>
  <c r="AX20" i="69"/>
  <c r="AY20" i="69"/>
  <c r="AZ20" i="69"/>
  <c r="AW20" i="69"/>
  <c r="AT21" i="69"/>
  <c r="AV21" i="69"/>
  <c r="AS22" i="69"/>
  <c r="AX21" i="69"/>
  <c r="AY21" i="69"/>
  <c r="AZ21" i="69"/>
  <c r="AW21" i="69"/>
  <c r="AT22" i="69"/>
  <c r="AV22" i="69"/>
  <c r="AS23" i="69"/>
  <c r="AX22" i="69"/>
  <c r="AY22" i="69"/>
  <c r="AZ22" i="69"/>
  <c r="AW22" i="69"/>
  <c r="AT23" i="69"/>
  <c r="AV23" i="69"/>
  <c r="AS24" i="69"/>
  <c r="AX23" i="69"/>
  <c r="AY23" i="69"/>
  <c r="AZ23" i="69"/>
  <c r="AW23" i="69"/>
  <c r="AT24" i="69"/>
  <c r="AV24" i="69"/>
  <c r="AW24" i="69"/>
  <c r="AS25" i="69"/>
  <c r="AX24" i="69"/>
  <c r="AY24" i="69"/>
  <c r="AZ24" i="69"/>
  <c r="AZ25" i="69"/>
  <c r="AS26" i="69"/>
  <c r="AZ26" i="69"/>
  <c r="AS27" i="69"/>
  <c r="AZ27" i="69"/>
  <c r="AS28" i="69"/>
  <c r="AZ28" i="69"/>
  <c r="AS29" i="69"/>
  <c r="AZ29" i="69"/>
  <c r="AS30" i="69"/>
  <c r="AZ30" i="69"/>
  <c r="AS33" i="69"/>
  <c r="AZ33" i="69"/>
  <c r="AS35" i="69"/>
  <c r="AZ35" i="69"/>
  <c r="AS36" i="69"/>
  <c r="AZ36" i="69"/>
  <c r="AS37" i="69"/>
  <c r="AZ37" i="69"/>
  <c r="AS38" i="69"/>
  <c r="AZ38" i="69"/>
  <c r="AS39" i="69"/>
  <c r="AZ39" i="69"/>
  <c r="AS40" i="69"/>
  <c r="AZ40" i="69"/>
  <c r="AS41" i="69"/>
  <c r="AZ41" i="69"/>
  <c r="AS42" i="69"/>
  <c r="AZ42" i="69"/>
  <c r="AS43" i="69"/>
  <c r="AZ43" i="69"/>
  <c r="AS44" i="69"/>
  <c r="AZ44" i="69"/>
  <c r="AS45" i="69"/>
  <c r="AZ45" i="69"/>
  <c r="AS46" i="69"/>
  <c r="AZ46" i="69"/>
  <c r="AS47" i="69"/>
  <c r="AZ47" i="69"/>
  <c r="AS48" i="69"/>
  <c r="AZ48" i="69"/>
  <c r="AS49" i="69"/>
  <c r="AZ49" i="69"/>
  <c r="AS50" i="69"/>
  <c r="AZ50" i="69"/>
  <c r="AS51" i="69"/>
  <c r="AZ51" i="69"/>
  <c r="AS52" i="69"/>
  <c r="AZ52" i="69"/>
  <c r="AS53" i="69"/>
  <c r="AZ53" i="69"/>
  <c r="AS54" i="69"/>
  <c r="AZ54" i="69"/>
  <c r="AS55" i="69"/>
  <c r="AZ55" i="69"/>
  <c r="AS56" i="69"/>
  <c r="AZ56" i="69"/>
  <c r="AS57" i="69"/>
  <c r="AZ57" i="69"/>
  <c r="AS58" i="69"/>
  <c r="AZ58" i="69"/>
  <c r="AS59" i="69"/>
  <c r="AZ59" i="69"/>
  <c r="AS60" i="69"/>
  <c r="AZ60" i="69"/>
  <c r="AS61" i="69"/>
  <c r="AZ61" i="69"/>
  <c r="AS62" i="69"/>
  <c r="AZ62" i="69"/>
  <c r="AS63" i="69"/>
  <c r="AZ63" i="69"/>
  <c r="AS64" i="69"/>
  <c r="AZ64" i="69"/>
  <c r="AS65" i="69"/>
  <c r="AZ65" i="69"/>
  <c r="AS66" i="69"/>
  <c r="AZ66" i="69"/>
  <c r="AS67" i="69"/>
  <c r="AZ67" i="69"/>
  <c r="AS68" i="69"/>
  <c r="AZ68" i="69"/>
  <c r="AS69" i="69"/>
  <c r="AZ69" i="69"/>
  <c r="AS70" i="69"/>
  <c r="AZ70" i="69"/>
  <c r="AS71" i="69"/>
  <c r="AZ71" i="69"/>
  <c r="AS72" i="69"/>
  <c r="AZ72" i="69"/>
  <c r="AS73" i="69"/>
  <c r="AZ73" i="69"/>
  <c r="AS74" i="69"/>
  <c r="AZ74" i="69"/>
  <c r="AS75" i="69"/>
  <c r="AZ75" i="69"/>
  <c r="AS76" i="69"/>
  <c r="AZ76" i="69"/>
  <c r="AS77" i="69"/>
  <c r="AZ77" i="69"/>
  <c r="AS78" i="69"/>
  <c r="AZ78" i="69"/>
  <c r="AS79" i="69"/>
  <c r="AZ79" i="69"/>
  <c r="AS80" i="69"/>
  <c r="AZ80" i="69"/>
  <c r="AS81" i="69"/>
  <c r="AZ81" i="69"/>
  <c r="AS82" i="69"/>
  <c r="AZ82" i="69"/>
  <c r="AS83" i="69"/>
  <c r="AZ83" i="69"/>
  <c r="AS84" i="69"/>
  <c r="AZ84" i="69"/>
  <c r="AS85" i="69"/>
  <c r="AZ85" i="69"/>
  <c r="AS86" i="69"/>
  <c r="AZ86" i="69"/>
  <c r="AS87" i="69"/>
  <c r="AZ87" i="69"/>
  <c r="AS88" i="69"/>
  <c r="AZ88" i="69"/>
  <c r="AS89" i="69"/>
  <c r="AZ89" i="69"/>
  <c r="AS90" i="69"/>
  <c r="AZ90" i="69"/>
  <c r="AS91" i="69"/>
  <c r="AZ91" i="69"/>
  <c r="AS92" i="69"/>
  <c r="AZ92" i="69"/>
  <c r="AS93" i="69"/>
  <c r="AZ93" i="69"/>
  <c r="AS94" i="69"/>
  <c r="AZ94" i="69"/>
  <c r="AS95" i="69"/>
  <c r="AZ95" i="69"/>
  <c r="AS96" i="69"/>
  <c r="AZ96" i="69"/>
  <c r="AS97" i="69"/>
  <c r="AZ97" i="69"/>
  <c r="AS98" i="69"/>
  <c r="AZ98" i="69"/>
  <c r="AS99" i="69"/>
  <c r="AZ99" i="69"/>
  <c r="AS100" i="69"/>
  <c r="AZ100" i="69"/>
  <c r="AS101" i="69"/>
  <c r="AZ101" i="69"/>
  <c r="AS102" i="69"/>
  <c r="AZ102" i="69"/>
  <c r="AS103" i="69"/>
  <c r="AZ103" i="69"/>
  <c r="AS104" i="69"/>
  <c r="AZ104" i="69"/>
  <c r="AS105" i="69"/>
  <c r="AZ105" i="69"/>
  <c r="AS106" i="69"/>
  <c r="AZ106" i="69"/>
  <c r="AS107" i="69"/>
  <c r="AZ107" i="69"/>
  <c r="AS108" i="69"/>
  <c r="AZ108" i="69"/>
  <c r="AS109" i="69"/>
  <c r="AZ109" i="69"/>
  <c r="AS110" i="69"/>
  <c r="AZ110" i="69"/>
  <c r="AS111" i="69"/>
  <c r="AZ111" i="69"/>
  <c r="AS112" i="69"/>
  <c r="AZ112" i="69"/>
  <c r="AS113" i="69"/>
  <c r="AZ113" i="69"/>
  <c r="AS114" i="69"/>
  <c r="AZ114" i="69"/>
  <c r="BA5" i="69"/>
  <c r="R14" i="69"/>
  <c r="AX4" i="69"/>
  <c r="AY4" i="69"/>
  <c r="AZ4" i="69"/>
  <c r="S14" i="69"/>
  <c r="T14" i="69"/>
  <c r="V14" i="69"/>
  <c r="I24" i="69"/>
  <c r="I25" i="69"/>
  <c r="V9" i="69"/>
  <c r="I31" i="69"/>
  <c r="V10" i="69"/>
  <c r="I32" i="69"/>
  <c r="AB8" i="69"/>
  <c r="AB15" i="69"/>
  <c r="W16" i="69"/>
  <c r="W17" i="69"/>
  <c r="G29" i="69"/>
  <c r="I34" i="69"/>
  <c r="AT114" i="69"/>
  <c r="AV114" i="69"/>
  <c r="AW114" i="69"/>
  <c r="AX114" i="69"/>
  <c r="AY114" i="69"/>
  <c r="AT113" i="69"/>
  <c r="AV113" i="69"/>
  <c r="AW113" i="69"/>
  <c r="AX113" i="69"/>
  <c r="AY113" i="69"/>
  <c r="AT112" i="69"/>
  <c r="AV112" i="69"/>
  <c r="AW112" i="69"/>
  <c r="AX112" i="69"/>
  <c r="AY112" i="69"/>
  <c r="AT111" i="69"/>
  <c r="AV111" i="69"/>
  <c r="AW111" i="69"/>
  <c r="AX111" i="69"/>
  <c r="AY111" i="69"/>
  <c r="AT110" i="69"/>
  <c r="AV110" i="69"/>
  <c r="AW110" i="69"/>
  <c r="AX110" i="69"/>
  <c r="AY110" i="69"/>
  <c r="AT109" i="69"/>
  <c r="AV109" i="69"/>
  <c r="AW109" i="69"/>
  <c r="AX109" i="69"/>
  <c r="AY109" i="69"/>
  <c r="AT108" i="69"/>
  <c r="AV108" i="69"/>
  <c r="AW108" i="69"/>
  <c r="AX108" i="69"/>
  <c r="AY108" i="69"/>
  <c r="AT107" i="69"/>
  <c r="AV107" i="69"/>
  <c r="AW107" i="69"/>
  <c r="AX107" i="69"/>
  <c r="AY107" i="69"/>
  <c r="AT106" i="69"/>
  <c r="AV106" i="69"/>
  <c r="AW106" i="69"/>
  <c r="AX106" i="69"/>
  <c r="AY106" i="69"/>
  <c r="AT105" i="69"/>
  <c r="AV105" i="69"/>
  <c r="AW105" i="69"/>
  <c r="AX105" i="69"/>
  <c r="AY105" i="69"/>
  <c r="AT104" i="69"/>
  <c r="AV104" i="69"/>
  <c r="AW104" i="69"/>
  <c r="AX104" i="69"/>
  <c r="AY104" i="69"/>
  <c r="AT103" i="69"/>
  <c r="AV103" i="69"/>
  <c r="AW103" i="69"/>
  <c r="AX103" i="69"/>
  <c r="AY103" i="69"/>
  <c r="AT102" i="69"/>
  <c r="AV102" i="69"/>
  <c r="AW102" i="69"/>
  <c r="AX102" i="69"/>
  <c r="AY102" i="69"/>
  <c r="AT101" i="69"/>
  <c r="AV101" i="69"/>
  <c r="AW101" i="69"/>
  <c r="AX101" i="69"/>
  <c r="AY101" i="69"/>
  <c r="AT100" i="69"/>
  <c r="AV100" i="69"/>
  <c r="AW100" i="69"/>
  <c r="AX100" i="69"/>
  <c r="AY100" i="69"/>
  <c r="AT99" i="69"/>
  <c r="AV99" i="69"/>
  <c r="AW99" i="69"/>
  <c r="AX99" i="69"/>
  <c r="AY99" i="69"/>
  <c r="AT98" i="69"/>
  <c r="AV98" i="69"/>
  <c r="AW98" i="69"/>
  <c r="AX98" i="69"/>
  <c r="AY98" i="69"/>
  <c r="AT97" i="69"/>
  <c r="AV97" i="69"/>
  <c r="AW97" i="69"/>
  <c r="AX97" i="69"/>
  <c r="AY97" i="69"/>
  <c r="AT96" i="69"/>
  <c r="AV96" i="69"/>
  <c r="AW96" i="69"/>
  <c r="AX96" i="69"/>
  <c r="AY96" i="69"/>
  <c r="AT95" i="69"/>
  <c r="AV95" i="69"/>
  <c r="AW95" i="69"/>
  <c r="AX95" i="69"/>
  <c r="AY95" i="69"/>
  <c r="AT94" i="69"/>
  <c r="AV94" i="69"/>
  <c r="AW94" i="69"/>
  <c r="AX94" i="69"/>
  <c r="AY94" i="69"/>
  <c r="AT93" i="69"/>
  <c r="AV93" i="69"/>
  <c r="AW93" i="69"/>
  <c r="AX93" i="69"/>
  <c r="AY93" i="69"/>
  <c r="AT92" i="69"/>
  <c r="AV92" i="69"/>
  <c r="AW92" i="69"/>
  <c r="AX92" i="69"/>
  <c r="AY92" i="69"/>
  <c r="AT91" i="69"/>
  <c r="AV91" i="69"/>
  <c r="AW91" i="69"/>
  <c r="AX91" i="69"/>
  <c r="AY91" i="69"/>
  <c r="AT90" i="69"/>
  <c r="AV90" i="69"/>
  <c r="AW90" i="69"/>
  <c r="AX90" i="69"/>
  <c r="AY90" i="69"/>
  <c r="AT89" i="69"/>
  <c r="AV89" i="69"/>
  <c r="AW89" i="69"/>
  <c r="AX89" i="69"/>
  <c r="AY89" i="69"/>
  <c r="AT88" i="69"/>
  <c r="AV88" i="69"/>
  <c r="AW88" i="69"/>
  <c r="AX88" i="69"/>
  <c r="AY88" i="69"/>
  <c r="AT87" i="69"/>
  <c r="AV87" i="69"/>
  <c r="AW87" i="69"/>
  <c r="AX87" i="69"/>
  <c r="AY87" i="69"/>
  <c r="AT86" i="69"/>
  <c r="AV86" i="69"/>
  <c r="AW86" i="69"/>
  <c r="AX86" i="69"/>
  <c r="AY86" i="69"/>
  <c r="AT85" i="69"/>
  <c r="AV85" i="69"/>
  <c r="AW85" i="69"/>
  <c r="AX85" i="69"/>
  <c r="AY85" i="69"/>
  <c r="AT84" i="69"/>
  <c r="AV84" i="69"/>
  <c r="AW84" i="69"/>
  <c r="AX84" i="69"/>
  <c r="AY84" i="69"/>
  <c r="AT83" i="69"/>
  <c r="AV83" i="69"/>
  <c r="AW83" i="69"/>
  <c r="AX83" i="69"/>
  <c r="AY83" i="69"/>
  <c r="AT82" i="69"/>
  <c r="AV82" i="69"/>
  <c r="AW82" i="69"/>
  <c r="AX82" i="69"/>
  <c r="AY82" i="69"/>
  <c r="AT81" i="69"/>
  <c r="AV81" i="69"/>
  <c r="AW81" i="69"/>
  <c r="AX81" i="69"/>
  <c r="AY81" i="69"/>
  <c r="AT80" i="69"/>
  <c r="AV80" i="69"/>
  <c r="AW80" i="69"/>
  <c r="AX80" i="69"/>
  <c r="AY80" i="69"/>
  <c r="AT79" i="69"/>
  <c r="AV79" i="69"/>
  <c r="AW79" i="69"/>
  <c r="AX79" i="69"/>
  <c r="AY79" i="69"/>
  <c r="AT78" i="69"/>
  <c r="AV78" i="69"/>
  <c r="AW78" i="69"/>
  <c r="AX78" i="69"/>
  <c r="AY78" i="69"/>
  <c r="AT77" i="69"/>
  <c r="AV77" i="69"/>
  <c r="AW77" i="69"/>
  <c r="AX77" i="69"/>
  <c r="AY77" i="69"/>
  <c r="AT76" i="69"/>
  <c r="AV76" i="69"/>
  <c r="AW76" i="69"/>
  <c r="AX76" i="69"/>
  <c r="AY76" i="69"/>
  <c r="AT75" i="69"/>
  <c r="AV75" i="69"/>
  <c r="AW75" i="69"/>
  <c r="AX75" i="69"/>
  <c r="AY75" i="69"/>
  <c r="AT74" i="69"/>
  <c r="AV74" i="69"/>
  <c r="AW74" i="69"/>
  <c r="AX74" i="69"/>
  <c r="AY74" i="69"/>
  <c r="AT73" i="69"/>
  <c r="AV73" i="69"/>
  <c r="AW73" i="69"/>
  <c r="AX73" i="69"/>
  <c r="AY73" i="69"/>
  <c r="AT72" i="69"/>
  <c r="AV72" i="69"/>
  <c r="AW72" i="69"/>
  <c r="AX72" i="69"/>
  <c r="AY72" i="69"/>
  <c r="AT71" i="69"/>
  <c r="AV71" i="69"/>
  <c r="AW71" i="69"/>
  <c r="AX71" i="69"/>
  <c r="AY71" i="69"/>
  <c r="AT70" i="69"/>
  <c r="AV70" i="69"/>
  <c r="AW70" i="69"/>
  <c r="AX70" i="69"/>
  <c r="AY70" i="69"/>
  <c r="AT69" i="69"/>
  <c r="AV69" i="69"/>
  <c r="AW69" i="69"/>
  <c r="AX69" i="69"/>
  <c r="AY69" i="69"/>
  <c r="AT68" i="69"/>
  <c r="AV68" i="69"/>
  <c r="AW68" i="69"/>
  <c r="AX68" i="69"/>
  <c r="AY68" i="69"/>
  <c r="AT67" i="69"/>
  <c r="AV67" i="69"/>
  <c r="AW67" i="69"/>
  <c r="AX67" i="69"/>
  <c r="AY67" i="69"/>
  <c r="AT66" i="69"/>
  <c r="AV66" i="69"/>
  <c r="AW66" i="69"/>
  <c r="AX66" i="69"/>
  <c r="AY66" i="69"/>
  <c r="AT65" i="69"/>
  <c r="AV65" i="69"/>
  <c r="AW65" i="69"/>
  <c r="AX65" i="69"/>
  <c r="AY65" i="69"/>
  <c r="AT64" i="69"/>
  <c r="AV64" i="69"/>
  <c r="AW64" i="69"/>
  <c r="AX64" i="69"/>
  <c r="AY64" i="69"/>
  <c r="AT63" i="69"/>
  <c r="AV63" i="69"/>
  <c r="AW63" i="69"/>
  <c r="AX63" i="69"/>
  <c r="AY63" i="69"/>
  <c r="AT62" i="69"/>
  <c r="AV62" i="69"/>
  <c r="AW62" i="69"/>
  <c r="AX62" i="69"/>
  <c r="AY62" i="69"/>
  <c r="AT61" i="69"/>
  <c r="AV61" i="69"/>
  <c r="AW61" i="69"/>
  <c r="AX61" i="69"/>
  <c r="AY61" i="69"/>
  <c r="AT60" i="69"/>
  <c r="AV60" i="69"/>
  <c r="AW60" i="69"/>
  <c r="AX60" i="69"/>
  <c r="AY60" i="69"/>
  <c r="AT59" i="69"/>
  <c r="AV59" i="69"/>
  <c r="AW59" i="69"/>
  <c r="AX59" i="69"/>
  <c r="AY59" i="69"/>
  <c r="AT58" i="69"/>
  <c r="AV58" i="69"/>
  <c r="AW58" i="69"/>
  <c r="AX58" i="69"/>
  <c r="AY58" i="69"/>
  <c r="AT57" i="69"/>
  <c r="AV57" i="69"/>
  <c r="AW57" i="69"/>
  <c r="AX57" i="69"/>
  <c r="AY57" i="69"/>
  <c r="AT56" i="69"/>
  <c r="AV56" i="69"/>
  <c r="AW56" i="69"/>
  <c r="AX56" i="69"/>
  <c r="AY56" i="69"/>
  <c r="AT55" i="69"/>
  <c r="AV55" i="69"/>
  <c r="AW55" i="69"/>
  <c r="AX55" i="69"/>
  <c r="AY55" i="69"/>
  <c r="AT54" i="69"/>
  <c r="AV54" i="69"/>
  <c r="AW54" i="69"/>
  <c r="AX54" i="69"/>
  <c r="AY54" i="69"/>
  <c r="AT53" i="69"/>
  <c r="AV53" i="69"/>
  <c r="AW53" i="69"/>
  <c r="AX53" i="69"/>
  <c r="AY53" i="69"/>
  <c r="AT52" i="69"/>
  <c r="AV52" i="69"/>
  <c r="AW52" i="69"/>
  <c r="AX52" i="69"/>
  <c r="AY52" i="69"/>
  <c r="AT51" i="69"/>
  <c r="AV51" i="69"/>
  <c r="AW51" i="69"/>
  <c r="AX51" i="69"/>
  <c r="AY51" i="69"/>
  <c r="AT50" i="69"/>
  <c r="AV50" i="69"/>
  <c r="AW50" i="69"/>
  <c r="AX50" i="69"/>
  <c r="AY50" i="69"/>
  <c r="AT49" i="69"/>
  <c r="AV49" i="69"/>
  <c r="AW49" i="69"/>
  <c r="AX49" i="69"/>
  <c r="AY49" i="69"/>
  <c r="AT48" i="69"/>
  <c r="AV48" i="69"/>
  <c r="AW48" i="69"/>
  <c r="AX48" i="69"/>
  <c r="AY48" i="69"/>
  <c r="AT47" i="69"/>
  <c r="AV47" i="69"/>
  <c r="AW47" i="69"/>
  <c r="AX47" i="69"/>
  <c r="AY47" i="69"/>
  <c r="AT46" i="69"/>
  <c r="AV46" i="69"/>
  <c r="AW46" i="69"/>
  <c r="AX46" i="69"/>
  <c r="AY46" i="69"/>
  <c r="AT45" i="69"/>
  <c r="AV45" i="69"/>
  <c r="AW45" i="69"/>
  <c r="AX45" i="69"/>
  <c r="AY45" i="69"/>
  <c r="AT44" i="69"/>
  <c r="AV44" i="69"/>
  <c r="AW44" i="69"/>
  <c r="AX44" i="69"/>
  <c r="AY44" i="69"/>
  <c r="AT43" i="69"/>
  <c r="AV43" i="69"/>
  <c r="AW43" i="69"/>
  <c r="AX43" i="69"/>
  <c r="AY43" i="69"/>
  <c r="AT42" i="69"/>
  <c r="AV42" i="69"/>
  <c r="AW42" i="69"/>
  <c r="AX42" i="69"/>
  <c r="AY42" i="69"/>
  <c r="AT41" i="69"/>
  <c r="AV41" i="69"/>
  <c r="AW41" i="69"/>
  <c r="AX41" i="69"/>
  <c r="AY41" i="69"/>
  <c r="AT40" i="69"/>
  <c r="AV40" i="69"/>
  <c r="AW40" i="69"/>
  <c r="AX40" i="69"/>
  <c r="AY40" i="69"/>
  <c r="AT39" i="69"/>
  <c r="AV39" i="69"/>
  <c r="AW39" i="69"/>
  <c r="AX39" i="69"/>
  <c r="AY39" i="69"/>
  <c r="AT38" i="69"/>
  <c r="AV38" i="69"/>
  <c r="AW38" i="69"/>
  <c r="AX38" i="69"/>
  <c r="AY38" i="69"/>
  <c r="AT37" i="69"/>
  <c r="AV37" i="69"/>
  <c r="AW37" i="69"/>
  <c r="AX37" i="69"/>
  <c r="AY37" i="69"/>
  <c r="O37" i="69"/>
  <c r="H37" i="69"/>
  <c r="AT36" i="69"/>
  <c r="AV36" i="69"/>
  <c r="AW36" i="69"/>
  <c r="AX36" i="69"/>
  <c r="AY36" i="69"/>
  <c r="AT35" i="69"/>
  <c r="AV35" i="69"/>
  <c r="AW35" i="69"/>
  <c r="AX35" i="69"/>
  <c r="AY35" i="69"/>
  <c r="AT33" i="69"/>
  <c r="AV33" i="69"/>
  <c r="AW33" i="69"/>
  <c r="AX33" i="69"/>
  <c r="AY33" i="69"/>
  <c r="W33" i="69"/>
  <c r="AT30" i="69"/>
  <c r="AV30" i="69"/>
  <c r="AW30" i="69"/>
  <c r="AX30" i="69"/>
  <c r="AY30" i="69"/>
  <c r="AT29" i="69"/>
  <c r="AV29" i="69"/>
  <c r="AW29" i="69"/>
  <c r="AX29" i="69"/>
  <c r="AY29" i="69"/>
  <c r="AT28" i="69"/>
  <c r="AV28" i="69"/>
  <c r="AW28" i="69"/>
  <c r="AX28" i="69"/>
  <c r="AY28" i="69"/>
  <c r="G28" i="69"/>
  <c r="AT27" i="69"/>
  <c r="AV27" i="69"/>
  <c r="AW27" i="69"/>
  <c r="AX27" i="69"/>
  <c r="AY27" i="69"/>
  <c r="G27" i="69"/>
  <c r="AT26" i="69"/>
  <c r="AV26" i="69"/>
  <c r="AW26" i="69"/>
  <c r="AX26" i="69"/>
  <c r="AY26" i="69"/>
  <c r="AT25" i="69"/>
  <c r="AV25" i="69"/>
  <c r="AW25" i="69"/>
  <c r="AX25" i="69"/>
  <c r="AY25" i="69"/>
  <c r="W19" i="69"/>
  <c r="T19" i="69"/>
  <c r="S19" i="69"/>
  <c r="T17" i="69"/>
  <c r="S17" i="69"/>
  <c r="T16" i="69"/>
  <c r="S16" i="69"/>
  <c r="AE6" i="69"/>
  <c r="AE8" i="69"/>
  <c r="BB5" i="69"/>
  <c r="S37" i="69"/>
  <c r="R37" i="69"/>
  <c r="T11" i="69"/>
  <c r="V11" i="69"/>
  <c r="I33" i="69"/>
  <c r="W18" i="69"/>
  <c r="S23" i="69"/>
  <c r="S26" i="69"/>
  <c r="S31" i="69"/>
  <c r="W31" i="69"/>
  <c r="S25" i="69"/>
  <c r="S30" i="69"/>
  <c r="W30" i="69"/>
  <c r="S24" i="69"/>
  <c r="S29" i="69"/>
  <c r="W29" i="69"/>
  <c r="S27" i="69"/>
  <c r="W27" i="69"/>
  <c r="W26" i="69"/>
  <c r="W25" i="69"/>
  <c r="W24" i="69"/>
  <c r="V19" i="69"/>
  <c r="V18" i="69"/>
  <c r="T18" i="69"/>
  <c r="S18" i="69"/>
  <c r="V17" i="69"/>
  <c r="V16" i="69"/>
  <c r="U11" i="69"/>
  <c r="D37" i="71"/>
  <c r="R5" i="71"/>
  <c r="S5" i="71"/>
  <c r="G37" i="71"/>
  <c r="T5" i="71"/>
  <c r="U37" i="71"/>
  <c r="AB6" i="71"/>
  <c r="AB13" i="71"/>
  <c r="V5" i="71"/>
  <c r="S9" i="71"/>
  <c r="T9" i="71"/>
  <c r="I21" i="71"/>
  <c r="AB7" i="71"/>
  <c r="AB14" i="71"/>
  <c r="S10" i="71"/>
  <c r="T10" i="71"/>
  <c r="I22" i="71"/>
  <c r="W37" i="71"/>
  <c r="V37" i="71"/>
  <c r="R6" i="71"/>
  <c r="S6" i="71"/>
  <c r="T6" i="71"/>
  <c r="S12" i="71"/>
  <c r="T12" i="71"/>
  <c r="I23" i="71"/>
  <c r="Q37" i="71"/>
  <c r="AT4" i="71"/>
  <c r="AU4" i="71"/>
  <c r="AT5" i="71"/>
  <c r="AV5" i="71"/>
  <c r="AS5" i="71"/>
  <c r="AS6" i="71"/>
  <c r="AX5" i="71"/>
  <c r="J37" i="71"/>
  <c r="AY5" i="71"/>
  <c r="AZ5" i="71"/>
  <c r="AW5" i="71"/>
  <c r="AT6" i="71"/>
  <c r="AV6" i="71"/>
  <c r="AS7" i="71"/>
  <c r="AX6" i="71"/>
  <c r="AY6" i="71"/>
  <c r="AZ6" i="71"/>
  <c r="AW6" i="71"/>
  <c r="AT7" i="71"/>
  <c r="AV7" i="71"/>
  <c r="AS8" i="71"/>
  <c r="AX7" i="71"/>
  <c r="AY7" i="71"/>
  <c r="AZ7" i="71"/>
  <c r="AW7" i="71"/>
  <c r="AT8" i="71"/>
  <c r="AV8" i="71"/>
  <c r="AS9" i="71"/>
  <c r="AX8" i="71"/>
  <c r="AY8" i="71"/>
  <c r="AZ8" i="71"/>
  <c r="AW8" i="71"/>
  <c r="AT9" i="71"/>
  <c r="AV9" i="71"/>
  <c r="AS10" i="71"/>
  <c r="AX9" i="71"/>
  <c r="AY9" i="71"/>
  <c r="AZ9" i="71"/>
  <c r="AW9" i="71"/>
  <c r="AT10" i="71"/>
  <c r="AV10" i="71"/>
  <c r="AS11" i="71"/>
  <c r="AX10" i="71"/>
  <c r="AY10" i="71"/>
  <c r="AZ10" i="71"/>
  <c r="AW10" i="71"/>
  <c r="AT11" i="71"/>
  <c r="AV11" i="71"/>
  <c r="AS12" i="71"/>
  <c r="AX11" i="71"/>
  <c r="AY11" i="71"/>
  <c r="AZ11" i="71"/>
  <c r="AW11" i="71"/>
  <c r="AT12" i="71"/>
  <c r="AV12" i="71"/>
  <c r="AS13" i="71"/>
  <c r="AX12" i="71"/>
  <c r="AY12" i="71"/>
  <c r="AZ12" i="71"/>
  <c r="AW12" i="71"/>
  <c r="AT13" i="71"/>
  <c r="AV13" i="71"/>
  <c r="AS14" i="71"/>
  <c r="AX13" i="71"/>
  <c r="AY13" i="71"/>
  <c r="AZ13" i="71"/>
  <c r="AW13" i="71"/>
  <c r="AT14" i="71"/>
  <c r="AV14" i="71"/>
  <c r="AS15" i="71"/>
  <c r="AX14" i="71"/>
  <c r="AY14" i="71"/>
  <c r="AZ14" i="71"/>
  <c r="AW14" i="71"/>
  <c r="AT15" i="71"/>
  <c r="AV15" i="71"/>
  <c r="AS16" i="71"/>
  <c r="AX15" i="71"/>
  <c r="AY15" i="71"/>
  <c r="AZ15" i="71"/>
  <c r="AW15" i="71"/>
  <c r="AT16" i="71"/>
  <c r="AV16" i="71"/>
  <c r="AS17" i="71"/>
  <c r="AX16" i="71"/>
  <c r="AY16" i="71"/>
  <c r="AZ16" i="71"/>
  <c r="AW16" i="71"/>
  <c r="AT17" i="71"/>
  <c r="AV17" i="71"/>
  <c r="AS18" i="71"/>
  <c r="AX17" i="71"/>
  <c r="AY17" i="71"/>
  <c r="AZ17" i="71"/>
  <c r="AW17" i="71"/>
  <c r="AT18" i="71"/>
  <c r="AV18" i="71"/>
  <c r="AS19" i="71"/>
  <c r="AX18" i="71"/>
  <c r="AY18" i="71"/>
  <c r="AZ18" i="71"/>
  <c r="AW18" i="71"/>
  <c r="AT19" i="71"/>
  <c r="AV19" i="71"/>
  <c r="AS20" i="71"/>
  <c r="AX19" i="71"/>
  <c r="AY19" i="71"/>
  <c r="AZ19" i="71"/>
  <c r="AW19" i="71"/>
  <c r="AT20" i="71"/>
  <c r="AV20" i="71"/>
  <c r="AS21" i="71"/>
  <c r="AX20" i="71"/>
  <c r="AY20" i="71"/>
  <c r="AZ20" i="71"/>
  <c r="AW20" i="71"/>
  <c r="AT21" i="71"/>
  <c r="AV21" i="71"/>
  <c r="AS22" i="71"/>
  <c r="AX21" i="71"/>
  <c r="AY21" i="71"/>
  <c r="AZ21" i="71"/>
  <c r="AW21" i="71"/>
  <c r="AT22" i="71"/>
  <c r="AV22" i="71"/>
  <c r="AS23" i="71"/>
  <c r="AX22" i="71"/>
  <c r="AY22" i="71"/>
  <c r="AZ22" i="71"/>
  <c r="AW22" i="71"/>
  <c r="AT23" i="71"/>
  <c r="AV23" i="71"/>
  <c r="AS24" i="71"/>
  <c r="AX23" i="71"/>
  <c r="AY23" i="71"/>
  <c r="AZ23" i="71"/>
  <c r="AW23" i="71"/>
  <c r="AT24" i="71"/>
  <c r="AV24" i="71"/>
  <c r="AW24" i="71"/>
  <c r="AS25" i="71"/>
  <c r="AX24" i="71"/>
  <c r="AY24" i="71"/>
  <c r="AZ24" i="71"/>
  <c r="AZ25" i="71"/>
  <c r="AS26" i="71"/>
  <c r="AZ26" i="71"/>
  <c r="AS27" i="71"/>
  <c r="AZ27" i="71"/>
  <c r="AS28" i="71"/>
  <c r="AZ28" i="71"/>
  <c r="AS29" i="71"/>
  <c r="AZ29" i="71"/>
  <c r="AS30" i="71"/>
  <c r="AZ30" i="71"/>
  <c r="AS33" i="71"/>
  <c r="AZ33" i="71"/>
  <c r="AS35" i="71"/>
  <c r="AZ35" i="71"/>
  <c r="AS36" i="71"/>
  <c r="AZ36" i="71"/>
  <c r="AS37" i="71"/>
  <c r="AZ37" i="71"/>
  <c r="AS38" i="71"/>
  <c r="AZ38" i="71"/>
  <c r="AS39" i="71"/>
  <c r="AZ39" i="71"/>
  <c r="AS40" i="71"/>
  <c r="AZ40" i="71"/>
  <c r="AS41" i="71"/>
  <c r="AZ41" i="71"/>
  <c r="AS42" i="71"/>
  <c r="AZ42" i="71"/>
  <c r="AS43" i="71"/>
  <c r="AZ43" i="71"/>
  <c r="AS44" i="71"/>
  <c r="AZ44" i="71"/>
  <c r="AS45" i="71"/>
  <c r="AZ45" i="71"/>
  <c r="AS46" i="71"/>
  <c r="AZ46" i="71"/>
  <c r="AS47" i="71"/>
  <c r="AZ47" i="71"/>
  <c r="AS48" i="71"/>
  <c r="AZ48" i="71"/>
  <c r="AS49" i="71"/>
  <c r="AZ49" i="71"/>
  <c r="AS50" i="71"/>
  <c r="AZ50" i="71"/>
  <c r="AS51" i="71"/>
  <c r="AZ51" i="71"/>
  <c r="AS52" i="71"/>
  <c r="AZ52" i="71"/>
  <c r="AS53" i="71"/>
  <c r="AZ53" i="71"/>
  <c r="AS54" i="71"/>
  <c r="AZ54" i="71"/>
  <c r="AS55" i="71"/>
  <c r="AZ55" i="71"/>
  <c r="AS56" i="71"/>
  <c r="AZ56" i="71"/>
  <c r="AS57" i="71"/>
  <c r="AZ57" i="71"/>
  <c r="AS58" i="71"/>
  <c r="AZ58" i="71"/>
  <c r="AS59" i="71"/>
  <c r="AZ59" i="71"/>
  <c r="AS60" i="71"/>
  <c r="AZ60" i="71"/>
  <c r="AS61" i="71"/>
  <c r="AZ61" i="71"/>
  <c r="AS62" i="71"/>
  <c r="AZ62" i="71"/>
  <c r="AS63" i="71"/>
  <c r="AZ63" i="71"/>
  <c r="AS64" i="71"/>
  <c r="AZ64" i="71"/>
  <c r="AS65" i="71"/>
  <c r="AZ65" i="71"/>
  <c r="AS66" i="71"/>
  <c r="AZ66" i="71"/>
  <c r="AS67" i="71"/>
  <c r="AZ67" i="71"/>
  <c r="AS68" i="71"/>
  <c r="AZ68" i="71"/>
  <c r="AS69" i="71"/>
  <c r="AZ69" i="71"/>
  <c r="AS70" i="71"/>
  <c r="AZ70" i="71"/>
  <c r="AS71" i="71"/>
  <c r="AZ71" i="71"/>
  <c r="AS72" i="71"/>
  <c r="AZ72" i="71"/>
  <c r="AS73" i="71"/>
  <c r="AZ73" i="71"/>
  <c r="AS74" i="71"/>
  <c r="AZ74" i="71"/>
  <c r="AS75" i="71"/>
  <c r="AZ75" i="71"/>
  <c r="AS76" i="71"/>
  <c r="AZ76" i="71"/>
  <c r="AS77" i="71"/>
  <c r="AZ77" i="71"/>
  <c r="AS78" i="71"/>
  <c r="AZ78" i="71"/>
  <c r="AS79" i="71"/>
  <c r="AZ79" i="71"/>
  <c r="AS80" i="71"/>
  <c r="AZ80" i="71"/>
  <c r="AS81" i="71"/>
  <c r="AZ81" i="71"/>
  <c r="AS82" i="71"/>
  <c r="AZ82" i="71"/>
  <c r="AS83" i="71"/>
  <c r="AZ83" i="71"/>
  <c r="AS84" i="71"/>
  <c r="AZ84" i="71"/>
  <c r="AS85" i="71"/>
  <c r="AZ85" i="71"/>
  <c r="AS86" i="71"/>
  <c r="AZ86" i="71"/>
  <c r="AS87" i="71"/>
  <c r="AZ87" i="71"/>
  <c r="AS88" i="71"/>
  <c r="AZ88" i="71"/>
  <c r="AS89" i="71"/>
  <c r="AZ89" i="71"/>
  <c r="AS90" i="71"/>
  <c r="AZ90" i="71"/>
  <c r="AS91" i="71"/>
  <c r="AZ91" i="71"/>
  <c r="AS92" i="71"/>
  <c r="AZ92" i="71"/>
  <c r="AS93" i="71"/>
  <c r="AZ93" i="71"/>
  <c r="AS94" i="71"/>
  <c r="AZ94" i="71"/>
  <c r="AS95" i="71"/>
  <c r="AZ95" i="71"/>
  <c r="AS96" i="71"/>
  <c r="AZ96" i="71"/>
  <c r="AS97" i="71"/>
  <c r="AZ97" i="71"/>
  <c r="AS98" i="71"/>
  <c r="AZ98" i="71"/>
  <c r="AS99" i="71"/>
  <c r="AZ99" i="71"/>
  <c r="AS100" i="71"/>
  <c r="AZ100" i="71"/>
  <c r="AS101" i="71"/>
  <c r="AZ101" i="71"/>
  <c r="AS102" i="71"/>
  <c r="AZ102" i="71"/>
  <c r="AS103" i="71"/>
  <c r="AZ103" i="71"/>
  <c r="AS104" i="71"/>
  <c r="AZ104" i="71"/>
  <c r="AS105" i="71"/>
  <c r="AZ105" i="71"/>
  <c r="AS106" i="71"/>
  <c r="AZ106" i="71"/>
  <c r="AS107" i="71"/>
  <c r="AZ107" i="71"/>
  <c r="AS108" i="71"/>
  <c r="AZ108" i="71"/>
  <c r="AS109" i="71"/>
  <c r="AZ109" i="71"/>
  <c r="AS110" i="71"/>
  <c r="AZ110" i="71"/>
  <c r="AS111" i="71"/>
  <c r="AZ111" i="71"/>
  <c r="AS112" i="71"/>
  <c r="AZ112" i="71"/>
  <c r="AS113" i="71"/>
  <c r="AZ113" i="71"/>
  <c r="AS114" i="71"/>
  <c r="AZ114" i="71"/>
  <c r="BA5" i="71"/>
  <c r="R14" i="71"/>
  <c r="AX4" i="71"/>
  <c r="AY4" i="71"/>
  <c r="AZ4" i="71"/>
  <c r="S14" i="71"/>
  <c r="T14" i="71"/>
  <c r="V14" i="71"/>
  <c r="I24" i="71"/>
  <c r="I25" i="71"/>
  <c r="V9" i="71"/>
  <c r="I31" i="71"/>
  <c r="V10" i="71"/>
  <c r="I32" i="71"/>
  <c r="AB8" i="71"/>
  <c r="AB15" i="71"/>
  <c r="W16" i="71"/>
  <c r="W17" i="71"/>
  <c r="G29" i="71"/>
  <c r="AT114" i="71"/>
  <c r="AV114" i="71"/>
  <c r="AW114" i="71"/>
  <c r="AX114" i="71"/>
  <c r="AY114" i="71"/>
  <c r="AT113" i="71"/>
  <c r="AV113" i="71"/>
  <c r="AW113" i="71"/>
  <c r="AX113" i="71"/>
  <c r="AY113" i="71"/>
  <c r="AT112" i="71"/>
  <c r="AV112" i="71"/>
  <c r="AW112" i="71"/>
  <c r="AX112" i="71"/>
  <c r="AY112" i="71"/>
  <c r="AT111" i="71"/>
  <c r="AV111" i="71"/>
  <c r="AW111" i="71"/>
  <c r="AX111" i="71"/>
  <c r="AY111" i="71"/>
  <c r="AT110" i="71"/>
  <c r="AV110" i="71"/>
  <c r="AW110" i="71"/>
  <c r="AX110" i="71"/>
  <c r="AY110" i="71"/>
  <c r="AT109" i="71"/>
  <c r="AV109" i="71"/>
  <c r="AW109" i="71"/>
  <c r="AX109" i="71"/>
  <c r="AY109" i="71"/>
  <c r="AT108" i="71"/>
  <c r="AV108" i="71"/>
  <c r="AW108" i="71"/>
  <c r="AX108" i="71"/>
  <c r="AY108" i="71"/>
  <c r="AT107" i="71"/>
  <c r="AV107" i="71"/>
  <c r="AW107" i="71"/>
  <c r="AX107" i="71"/>
  <c r="AY107" i="71"/>
  <c r="AT106" i="71"/>
  <c r="AV106" i="71"/>
  <c r="AW106" i="71"/>
  <c r="AX106" i="71"/>
  <c r="AY106" i="71"/>
  <c r="AT105" i="71"/>
  <c r="AV105" i="71"/>
  <c r="AW105" i="71"/>
  <c r="AX105" i="71"/>
  <c r="AY105" i="71"/>
  <c r="AT104" i="71"/>
  <c r="AV104" i="71"/>
  <c r="AW104" i="71"/>
  <c r="AX104" i="71"/>
  <c r="AY104" i="71"/>
  <c r="AT103" i="71"/>
  <c r="AV103" i="71"/>
  <c r="AW103" i="71"/>
  <c r="AX103" i="71"/>
  <c r="AY103" i="71"/>
  <c r="AT102" i="71"/>
  <c r="AV102" i="71"/>
  <c r="AW102" i="71"/>
  <c r="AX102" i="71"/>
  <c r="AY102" i="71"/>
  <c r="AT101" i="71"/>
  <c r="AV101" i="71"/>
  <c r="AW101" i="71"/>
  <c r="AX101" i="71"/>
  <c r="AY101" i="71"/>
  <c r="AT100" i="71"/>
  <c r="AV100" i="71"/>
  <c r="AW100" i="71"/>
  <c r="AX100" i="71"/>
  <c r="AY100" i="71"/>
  <c r="AT99" i="71"/>
  <c r="AV99" i="71"/>
  <c r="AW99" i="71"/>
  <c r="AX99" i="71"/>
  <c r="AY99" i="71"/>
  <c r="AT98" i="71"/>
  <c r="AV98" i="71"/>
  <c r="AW98" i="71"/>
  <c r="AX98" i="71"/>
  <c r="AY98" i="71"/>
  <c r="AT97" i="71"/>
  <c r="AV97" i="71"/>
  <c r="AW97" i="71"/>
  <c r="AX97" i="71"/>
  <c r="AY97" i="71"/>
  <c r="AT96" i="71"/>
  <c r="AV96" i="71"/>
  <c r="AW96" i="71"/>
  <c r="AX96" i="71"/>
  <c r="AY96" i="71"/>
  <c r="AT95" i="71"/>
  <c r="AV95" i="71"/>
  <c r="AW95" i="71"/>
  <c r="AX95" i="71"/>
  <c r="AY95" i="71"/>
  <c r="AT94" i="71"/>
  <c r="AV94" i="71"/>
  <c r="AW94" i="71"/>
  <c r="AX94" i="71"/>
  <c r="AY94" i="71"/>
  <c r="AT93" i="71"/>
  <c r="AV93" i="71"/>
  <c r="AW93" i="71"/>
  <c r="AX93" i="71"/>
  <c r="AY93" i="71"/>
  <c r="AT92" i="71"/>
  <c r="AV92" i="71"/>
  <c r="AW92" i="71"/>
  <c r="AX92" i="71"/>
  <c r="AY92" i="71"/>
  <c r="AT91" i="71"/>
  <c r="AV91" i="71"/>
  <c r="AW91" i="71"/>
  <c r="AX91" i="71"/>
  <c r="AY91" i="71"/>
  <c r="AT90" i="71"/>
  <c r="AV90" i="71"/>
  <c r="AW90" i="71"/>
  <c r="AX90" i="71"/>
  <c r="AY90" i="71"/>
  <c r="AT89" i="71"/>
  <c r="AV89" i="71"/>
  <c r="AW89" i="71"/>
  <c r="AX89" i="71"/>
  <c r="AY89" i="71"/>
  <c r="AT88" i="71"/>
  <c r="AV88" i="71"/>
  <c r="AW88" i="71"/>
  <c r="AX88" i="71"/>
  <c r="AY88" i="71"/>
  <c r="AT87" i="71"/>
  <c r="AV87" i="71"/>
  <c r="AW87" i="71"/>
  <c r="AX87" i="71"/>
  <c r="AY87" i="71"/>
  <c r="AT86" i="71"/>
  <c r="AV86" i="71"/>
  <c r="AW86" i="71"/>
  <c r="AX86" i="71"/>
  <c r="AY86" i="71"/>
  <c r="AT85" i="71"/>
  <c r="AV85" i="71"/>
  <c r="AW85" i="71"/>
  <c r="AX85" i="71"/>
  <c r="AY85" i="71"/>
  <c r="AT84" i="71"/>
  <c r="AV84" i="71"/>
  <c r="AW84" i="71"/>
  <c r="AX84" i="71"/>
  <c r="AY84" i="71"/>
  <c r="AT83" i="71"/>
  <c r="AV83" i="71"/>
  <c r="AW83" i="71"/>
  <c r="AX83" i="71"/>
  <c r="AY83" i="71"/>
  <c r="AT82" i="71"/>
  <c r="AV82" i="71"/>
  <c r="AW82" i="71"/>
  <c r="AX82" i="71"/>
  <c r="AY82" i="71"/>
  <c r="AT81" i="71"/>
  <c r="AV81" i="71"/>
  <c r="AW81" i="71"/>
  <c r="AX81" i="71"/>
  <c r="AY81" i="71"/>
  <c r="AT80" i="71"/>
  <c r="AV80" i="71"/>
  <c r="AW80" i="71"/>
  <c r="AX80" i="71"/>
  <c r="AY80" i="71"/>
  <c r="AT79" i="71"/>
  <c r="AV79" i="71"/>
  <c r="AW79" i="71"/>
  <c r="AX79" i="71"/>
  <c r="AY79" i="71"/>
  <c r="AT78" i="71"/>
  <c r="AV78" i="71"/>
  <c r="AW78" i="71"/>
  <c r="AX78" i="71"/>
  <c r="AY78" i="71"/>
  <c r="AT77" i="71"/>
  <c r="AV77" i="71"/>
  <c r="AW77" i="71"/>
  <c r="AX77" i="71"/>
  <c r="AY77" i="71"/>
  <c r="AT76" i="71"/>
  <c r="AV76" i="71"/>
  <c r="AW76" i="71"/>
  <c r="AX76" i="71"/>
  <c r="AY76" i="71"/>
  <c r="AT75" i="71"/>
  <c r="AV75" i="71"/>
  <c r="AW75" i="71"/>
  <c r="AX75" i="71"/>
  <c r="AY75" i="71"/>
  <c r="AT74" i="71"/>
  <c r="AV74" i="71"/>
  <c r="AW74" i="71"/>
  <c r="AX74" i="71"/>
  <c r="AY74" i="71"/>
  <c r="AT73" i="71"/>
  <c r="AV73" i="71"/>
  <c r="AW73" i="71"/>
  <c r="AX73" i="71"/>
  <c r="AY73" i="71"/>
  <c r="AT72" i="71"/>
  <c r="AV72" i="71"/>
  <c r="AW72" i="71"/>
  <c r="AX72" i="71"/>
  <c r="AY72" i="71"/>
  <c r="AT71" i="71"/>
  <c r="AV71" i="71"/>
  <c r="AW71" i="71"/>
  <c r="AX71" i="71"/>
  <c r="AY71" i="71"/>
  <c r="AT70" i="71"/>
  <c r="AV70" i="71"/>
  <c r="AW70" i="71"/>
  <c r="AX70" i="71"/>
  <c r="AY70" i="71"/>
  <c r="AT69" i="71"/>
  <c r="AV69" i="71"/>
  <c r="AW69" i="71"/>
  <c r="AX69" i="71"/>
  <c r="AY69" i="71"/>
  <c r="AT68" i="71"/>
  <c r="AV68" i="71"/>
  <c r="AW68" i="71"/>
  <c r="AX68" i="71"/>
  <c r="AY68" i="71"/>
  <c r="AT67" i="71"/>
  <c r="AV67" i="71"/>
  <c r="AW67" i="71"/>
  <c r="AX67" i="71"/>
  <c r="AY67" i="71"/>
  <c r="AT66" i="71"/>
  <c r="AV66" i="71"/>
  <c r="AW66" i="71"/>
  <c r="AX66" i="71"/>
  <c r="AY66" i="71"/>
  <c r="AT65" i="71"/>
  <c r="AV65" i="71"/>
  <c r="AW65" i="71"/>
  <c r="AX65" i="71"/>
  <c r="AY65" i="71"/>
  <c r="AT64" i="71"/>
  <c r="AV64" i="71"/>
  <c r="AW64" i="71"/>
  <c r="AX64" i="71"/>
  <c r="AY64" i="71"/>
  <c r="AT63" i="71"/>
  <c r="AV63" i="71"/>
  <c r="AW63" i="71"/>
  <c r="AX63" i="71"/>
  <c r="AY63" i="71"/>
  <c r="AT62" i="71"/>
  <c r="AV62" i="71"/>
  <c r="AW62" i="71"/>
  <c r="AX62" i="71"/>
  <c r="AY62" i="71"/>
  <c r="AT61" i="71"/>
  <c r="AV61" i="71"/>
  <c r="AW61" i="71"/>
  <c r="AX61" i="71"/>
  <c r="AY61" i="71"/>
  <c r="AT60" i="71"/>
  <c r="AV60" i="71"/>
  <c r="AW60" i="71"/>
  <c r="AX60" i="71"/>
  <c r="AY60" i="71"/>
  <c r="AT59" i="71"/>
  <c r="AV59" i="71"/>
  <c r="AW59" i="71"/>
  <c r="AX59" i="71"/>
  <c r="AY59" i="71"/>
  <c r="AT58" i="71"/>
  <c r="AV58" i="71"/>
  <c r="AW58" i="71"/>
  <c r="AX58" i="71"/>
  <c r="AY58" i="71"/>
  <c r="AT57" i="71"/>
  <c r="AV57" i="71"/>
  <c r="AW57" i="71"/>
  <c r="AX57" i="71"/>
  <c r="AY57" i="71"/>
  <c r="AT56" i="71"/>
  <c r="AV56" i="71"/>
  <c r="AW56" i="71"/>
  <c r="AX56" i="71"/>
  <c r="AY56" i="71"/>
  <c r="AT55" i="71"/>
  <c r="AV55" i="71"/>
  <c r="AW55" i="71"/>
  <c r="AX55" i="71"/>
  <c r="AY55" i="71"/>
  <c r="AT54" i="71"/>
  <c r="AV54" i="71"/>
  <c r="AW54" i="71"/>
  <c r="AX54" i="71"/>
  <c r="AY54" i="71"/>
  <c r="AT53" i="71"/>
  <c r="AV53" i="71"/>
  <c r="AW53" i="71"/>
  <c r="AX53" i="71"/>
  <c r="AY53" i="71"/>
  <c r="AT52" i="71"/>
  <c r="AV52" i="71"/>
  <c r="AW52" i="71"/>
  <c r="AX52" i="71"/>
  <c r="AY52" i="71"/>
  <c r="AT51" i="71"/>
  <c r="AV51" i="71"/>
  <c r="AW51" i="71"/>
  <c r="AX51" i="71"/>
  <c r="AY51" i="71"/>
  <c r="AT50" i="71"/>
  <c r="AV50" i="71"/>
  <c r="AW50" i="71"/>
  <c r="AX50" i="71"/>
  <c r="AY50" i="71"/>
  <c r="AT49" i="71"/>
  <c r="AV49" i="71"/>
  <c r="AW49" i="71"/>
  <c r="AX49" i="71"/>
  <c r="AY49" i="71"/>
  <c r="AT48" i="71"/>
  <c r="AV48" i="71"/>
  <c r="AW48" i="71"/>
  <c r="AX48" i="71"/>
  <c r="AY48" i="71"/>
  <c r="AT47" i="71"/>
  <c r="AV47" i="71"/>
  <c r="AW47" i="71"/>
  <c r="AX47" i="71"/>
  <c r="AY47" i="71"/>
  <c r="AT46" i="71"/>
  <c r="AV46" i="71"/>
  <c r="AW46" i="71"/>
  <c r="AX46" i="71"/>
  <c r="AY46" i="71"/>
  <c r="AT45" i="71"/>
  <c r="AV45" i="71"/>
  <c r="AW45" i="71"/>
  <c r="AX45" i="71"/>
  <c r="AY45" i="71"/>
  <c r="AT44" i="71"/>
  <c r="AV44" i="71"/>
  <c r="AW44" i="71"/>
  <c r="AX44" i="71"/>
  <c r="AY44" i="71"/>
  <c r="AT43" i="71"/>
  <c r="AV43" i="71"/>
  <c r="AW43" i="71"/>
  <c r="AX43" i="71"/>
  <c r="AY43" i="71"/>
  <c r="AT42" i="71"/>
  <c r="AV42" i="71"/>
  <c r="AW42" i="71"/>
  <c r="AX42" i="71"/>
  <c r="AY42" i="71"/>
  <c r="AT41" i="71"/>
  <c r="AV41" i="71"/>
  <c r="AW41" i="71"/>
  <c r="AX41" i="71"/>
  <c r="AY41" i="71"/>
  <c r="AT40" i="71"/>
  <c r="AV40" i="71"/>
  <c r="AW40" i="71"/>
  <c r="AX40" i="71"/>
  <c r="AY40" i="71"/>
  <c r="AT39" i="71"/>
  <c r="AV39" i="71"/>
  <c r="AW39" i="71"/>
  <c r="AX39" i="71"/>
  <c r="AY39" i="71"/>
  <c r="AT38" i="71"/>
  <c r="AV38" i="71"/>
  <c r="AW38" i="71"/>
  <c r="AX38" i="71"/>
  <c r="AY38" i="71"/>
  <c r="AT37" i="71"/>
  <c r="AV37" i="71"/>
  <c r="AW37" i="71"/>
  <c r="AX37" i="71"/>
  <c r="AY37" i="71"/>
  <c r="O37" i="71"/>
  <c r="H37" i="71"/>
  <c r="AT36" i="71"/>
  <c r="AV36" i="71"/>
  <c r="AW36" i="71"/>
  <c r="AX36" i="71"/>
  <c r="AY36" i="71"/>
  <c r="AT35" i="71"/>
  <c r="AV35" i="71"/>
  <c r="AW35" i="71"/>
  <c r="AX35" i="71"/>
  <c r="AY35" i="71"/>
  <c r="I34" i="71"/>
  <c r="AT33" i="71"/>
  <c r="AV33" i="71"/>
  <c r="AW33" i="71"/>
  <c r="AX33" i="71"/>
  <c r="AY33" i="71"/>
  <c r="W33" i="71"/>
  <c r="AT30" i="71"/>
  <c r="AV30" i="71"/>
  <c r="AW30" i="71"/>
  <c r="AX30" i="71"/>
  <c r="AY30" i="71"/>
  <c r="AT29" i="71"/>
  <c r="AV29" i="71"/>
  <c r="AW29" i="71"/>
  <c r="AX29" i="71"/>
  <c r="AY29" i="71"/>
  <c r="AT28" i="71"/>
  <c r="AV28" i="71"/>
  <c r="AW28" i="71"/>
  <c r="AX28" i="71"/>
  <c r="AY28" i="71"/>
  <c r="G28" i="71"/>
  <c r="AT27" i="71"/>
  <c r="AV27" i="71"/>
  <c r="AW27" i="71"/>
  <c r="AX27" i="71"/>
  <c r="AY27" i="71"/>
  <c r="G27" i="71"/>
  <c r="AT26" i="71"/>
  <c r="AV26" i="71"/>
  <c r="AW26" i="71"/>
  <c r="AX26" i="71"/>
  <c r="AY26" i="71"/>
  <c r="AT25" i="71"/>
  <c r="AV25" i="71"/>
  <c r="AW25" i="71"/>
  <c r="AX25" i="71"/>
  <c r="AY25" i="71"/>
  <c r="W19" i="71"/>
  <c r="T19" i="71"/>
  <c r="S19" i="71"/>
  <c r="T17" i="71"/>
  <c r="S17" i="71"/>
  <c r="T16" i="71"/>
  <c r="S16" i="71"/>
  <c r="AE6" i="71"/>
  <c r="AE8" i="71"/>
  <c r="BB5" i="71"/>
  <c r="S37" i="71"/>
  <c r="R37" i="71"/>
  <c r="T11" i="71"/>
  <c r="V11" i="71"/>
  <c r="I33" i="71"/>
  <c r="W18" i="71"/>
  <c r="S23" i="71"/>
  <c r="S26" i="71"/>
  <c r="S31" i="71"/>
  <c r="W31" i="71"/>
  <c r="S25" i="71"/>
  <c r="S30" i="71"/>
  <c r="W30" i="71"/>
  <c r="S24" i="71"/>
  <c r="S29" i="71"/>
  <c r="W29" i="71"/>
  <c r="S27" i="71"/>
  <c r="W27" i="71"/>
  <c r="W26" i="71"/>
  <c r="W25" i="71"/>
  <c r="W24" i="71"/>
  <c r="V19" i="71"/>
  <c r="V18" i="71"/>
  <c r="T18" i="71"/>
  <c r="S18" i="71"/>
  <c r="V17" i="71"/>
  <c r="V16" i="71"/>
  <c r="U11" i="71"/>
  <c r="D37" i="74"/>
  <c r="R5" i="74"/>
  <c r="S5" i="74"/>
  <c r="G37" i="74"/>
  <c r="T5" i="74"/>
  <c r="U37" i="74"/>
  <c r="W37" i="74"/>
  <c r="V37" i="74"/>
  <c r="R6" i="74"/>
  <c r="S6" i="74"/>
  <c r="T6" i="74"/>
  <c r="S12" i="74"/>
  <c r="T12" i="74"/>
  <c r="AB6" i="74"/>
  <c r="AB13" i="74"/>
  <c r="V5" i="74"/>
  <c r="S9" i="74"/>
  <c r="T9" i="74"/>
  <c r="I21" i="74"/>
  <c r="AB7" i="74"/>
  <c r="AB14" i="74"/>
  <c r="S10" i="74"/>
  <c r="T10" i="74"/>
  <c r="I22" i="74"/>
  <c r="Q37" i="74"/>
  <c r="AT4" i="74"/>
  <c r="AU4" i="74"/>
  <c r="AT5" i="74"/>
  <c r="AV5" i="74"/>
  <c r="AS5" i="74"/>
  <c r="AS6" i="74"/>
  <c r="AX5" i="74"/>
  <c r="J37" i="74"/>
  <c r="AY5" i="74"/>
  <c r="AZ5" i="74"/>
  <c r="AW5" i="74"/>
  <c r="AT6" i="74"/>
  <c r="AV6" i="74"/>
  <c r="AS7" i="74"/>
  <c r="AX6" i="74"/>
  <c r="AY6" i="74"/>
  <c r="AZ6" i="74"/>
  <c r="AW6" i="74"/>
  <c r="AT7" i="74"/>
  <c r="AV7" i="74"/>
  <c r="AS8" i="74"/>
  <c r="AX7" i="74"/>
  <c r="AY7" i="74"/>
  <c r="AZ7" i="74"/>
  <c r="AW7" i="74"/>
  <c r="AT8" i="74"/>
  <c r="AV8" i="74"/>
  <c r="AS9" i="74"/>
  <c r="AX8" i="74"/>
  <c r="AY8" i="74"/>
  <c r="AZ8" i="74"/>
  <c r="AW8" i="74"/>
  <c r="AT9" i="74"/>
  <c r="AV9" i="74"/>
  <c r="AS10" i="74"/>
  <c r="AX9" i="74"/>
  <c r="AY9" i="74"/>
  <c r="AZ9" i="74"/>
  <c r="AW9" i="74"/>
  <c r="AT10" i="74"/>
  <c r="AV10" i="74"/>
  <c r="AS11" i="74"/>
  <c r="AX10" i="74"/>
  <c r="AY10" i="74"/>
  <c r="AZ10" i="74"/>
  <c r="AW10" i="74"/>
  <c r="AT11" i="74"/>
  <c r="AV11" i="74"/>
  <c r="AS12" i="74"/>
  <c r="AX11" i="74"/>
  <c r="AY11" i="74"/>
  <c r="AZ11" i="74"/>
  <c r="AW11" i="74"/>
  <c r="AT12" i="74"/>
  <c r="AV12" i="74"/>
  <c r="AS13" i="74"/>
  <c r="AX12" i="74"/>
  <c r="AY12" i="74"/>
  <c r="AZ12" i="74"/>
  <c r="AW12" i="74"/>
  <c r="AT13" i="74"/>
  <c r="AV13" i="74"/>
  <c r="AS14" i="74"/>
  <c r="AX13" i="74"/>
  <c r="AY13" i="74"/>
  <c r="AZ13" i="74"/>
  <c r="AW13" i="74"/>
  <c r="AT14" i="74"/>
  <c r="AV14" i="74"/>
  <c r="AS15" i="74"/>
  <c r="AX14" i="74"/>
  <c r="AY14" i="74"/>
  <c r="AZ14" i="74"/>
  <c r="AW14" i="74"/>
  <c r="AT15" i="74"/>
  <c r="AV15" i="74"/>
  <c r="AS16" i="74"/>
  <c r="AX15" i="74"/>
  <c r="AY15" i="74"/>
  <c r="AZ15" i="74"/>
  <c r="AW15" i="74"/>
  <c r="AT16" i="74"/>
  <c r="AV16" i="74"/>
  <c r="AS17" i="74"/>
  <c r="AX16" i="74"/>
  <c r="AY16" i="74"/>
  <c r="AZ16" i="74"/>
  <c r="AW16" i="74"/>
  <c r="AT17" i="74"/>
  <c r="AV17" i="74"/>
  <c r="AS18" i="74"/>
  <c r="AX17" i="74"/>
  <c r="AY17" i="74"/>
  <c r="AZ17" i="74"/>
  <c r="AW17" i="74"/>
  <c r="AT18" i="74"/>
  <c r="AV18" i="74"/>
  <c r="AS19" i="74"/>
  <c r="AX18" i="74"/>
  <c r="AY18" i="74"/>
  <c r="AZ18" i="74"/>
  <c r="AW18" i="74"/>
  <c r="AT19" i="74"/>
  <c r="AV19" i="74"/>
  <c r="AW19" i="74"/>
  <c r="AS20" i="74"/>
  <c r="AX19" i="74"/>
  <c r="AY19" i="74"/>
  <c r="AZ19" i="74"/>
  <c r="AZ20" i="74"/>
  <c r="AS21" i="74"/>
  <c r="AZ21" i="74"/>
  <c r="AS22" i="74"/>
  <c r="AZ22" i="74"/>
  <c r="AS23" i="74"/>
  <c r="AZ23" i="74"/>
  <c r="AS24" i="74"/>
  <c r="AZ24" i="74"/>
  <c r="AS25" i="74"/>
  <c r="AZ25" i="74"/>
  <c r="AS26" i="74"/>
  <c r="AZ26" i="74"/>
  <c r="AS27" i="74"/>
  <c r="AZ27" i="74"/>
  <c r="AS28" i="74"/>
  <c r="AZ28" i="74"/>
  <c r="AS29" i="74"/>
  <c r="AZ29" i="74"/>
  <c r="AS30" i="74"/>
  <c r="AZ30" i="74"/>
  <c r="AS33" i="74"/>
  <c r="AZ33" i="74"/>
  <c r="AS35" i="74"/>
  <c r="AZ35" i="74"/>
  <c r="AS36" i="74"/>
  <c r="AZ36" i="74"/>
  <c r="AS37" i="74"/>
  <c r="AZ37" i="74"/>
  <c r="AS38" i="74"/>
  <c r="AZ38" i="74"/>
  <c r="AS39" i="74"/>
  <c r="AZ39" i="74"/>
  <c r="AS40" i="74"/>
  <c r="AZ40" i="74"/>
  <c r="AS41" i="74"/>
  <c r="AZ41" i="74"/>
  <c r="AS42" i="74"/>
  <c r="AZ42" i="74"/>
  <c r="AS43" i="74"/>
  <c r="AZ43" i="74"/>
  <c r="AS44" i="74"/>
  <c r="AZ44" i="74"/>
  <c r="AS45" i="74"/>
  <c r="AZ45" i="74"/>
  <c r="AS46" i="74"/>
  <c r="AZ46" i="74"/>
  <c r="AS47" i="74"/>
  <c r="AZ47" i="74"/>
  <c r="AS48" i="74"/>
  <c r="AZ48" i="74"/>
  <c r="AS49" i="74"/>
  <c r="AZ49" i="74"/>
  <c r="AS50" i="74"/>
  <c r="AZ50" i="74"/>
  <c r="AS51" i="74"/>
  <c r="AZ51" i="74"/>
  <c r="AS52" i="74"/>
  <c r="AZ52" i="74"/>
  <c r="AS53" i="74"/>
  <c r="AZ53" i="74"/>
  <c r="AS54" i="74"/>
  <c r="AZ54" i="74"/>
  <c r="AS55" i="74"/>
  <c r="AZ55" i="74"/>
  <c r="AS56" i="74"/>
  <c r="AZ56" i="74"/>
  <c r="AS57" i="74"/>
  <c r="AZ57" i="74"/>
  <c r="AS58" i="74"/>
  <c r="AZ58" i="74"/>
  <c r="AS59" i="74"/>
  <c r="AZ59" i="74"/>
  <c r="AS60" i="74"/>
  <c r="AZ60" i="74"/>
  <c r="AS61" i="74"/>
  <c r="AZ61" i="74"/>
  <c r="AS62" i="74"/>
  <c r="AZ62" i="74"/>
  <c r="AS63" i="74"/>
  <c r="AZ63" i="74"/>
  <c r="AS64" i="74"/>
  <c r="AZ64" i="74"/>
  <c r="AS65" i="74"/>
  <c r="AZ65" i="74"/>
  <c r="AS66" i="74"/>
  <c r="AZ66" i="74"/>
  <c r="AS67" i="74"/>
  <c r="AZ67" i="74"/>
  <c r="AS68" i="74"/>
  <c r="AZ68" i="74"/>
  <c r="AS69" i="74"/>
  <c r="AZ69" i="74"/>
  <c r="AS70" i="74"/>
  <c r="AZ70" i="74"/>
  <c r="AS71" i="74"/>
  <c r="AZ71" i="74"/>
  <c r="AS72" i="74"/>
  <c r="AZ72" i="74"/>
  <c r="AS73" i="74"/>
  <c r="AZ73" i="74"/>
  <c r="AS74" i="74"/>
  <c r="AZ74" i="74"/>
  <c r="AS75" i="74"/>
  <c r="AZ75" i="74"/>
  <c r="AS76" i="74"/>
  <c r="AZ76" i="74"/>
  <c r="AS77" i="74"/>
  <c r="AZ77" i="74"/>
  <c r="AS78" i="74"/>
  <c r="AZ78" i="74"/>
  <c r="AS79" i="74"/>
  <c r="AZ79" i="74"/>
  <c r="AS80" i="74"/>
  <c r="AZ80" i="74"/>
  <c r="AS81" i="74"/>
  <c r="AZ81" i="74"/>
  <c r="AS82" i="74"/>
  <c r="AZ82" i="74"/>
  <c r="AS83" i="74"/>
  <c r="AZ83" i="74"/>
  <c r="AS84" i="74"/>
  <c r="AZ84" i="74"/>
  <c r="AS85" i="74"/>
  <c r="AZ85" i="74"/>
  <c r="AS86" i="74"/>
  <c r="AZ86" i="74"/>
  <c r="AS87" i="74"/>
  <c r="AZ87" i="74"/>
  <c r="AS88" i="74"/>
  <c r="AZ88" i="74"/>
  <c r="AS89" i="74"/>
  <c r="AZ89" i="74"/>
  <c r="AS90" i="74"/>
  <c r="AZ90" i="74"/>
  <c r="AS91" i="74"/>
  <c r="AZ91" i="74"/>
  <c r="AS92" i="74"/>
  <c r="AZ92" i="74"/>
  <c r="AS93" i="74"/>
  <c r="AZ93" i="74"/>
  <c r="AS94" i="74"/>
  <c r="AZ94" i="74"/>
  <c r="AS95" i="74"/>
  <c r="AZ95" i="74"/>
  <c r="AS96" i="74"/>
  <c r="AZ96" i="74"/>
  <c r="AS97" i="74"/>
  <c r="AZ97" i="74"/>
  <c r="AS98" i="74"/>
  <c r="AZ98" i="74"/>
  <c r="AS99" i="74"/>
  <c r="AZ99" i="74"/>
  <c r="AS100" i="74"/>
  <c r="AZ100" i="74"/>
  <c r="AS101" i="74"/>
  <c r="AZ101" i="74"/>
  <c r="AS102" i="74"/>
  <c r="AZ102" i="74"/>
  <c r="AS103" i="74"/>
  <c r="AZ103" i="74"/>
  <c r="AS104" i="74"/>
  <c r="AZ104" i="74"/>
  <c r="AS105" i="74"/>
  <c r="AZ105" i="74"/>
  <c r="AS106" i="74"/>
  <c r="AZ106" i="74"/>
  <c r="AS107" i="74"/>
  <c r="AZ107" i="74"/>
  <c r="AS108" i="74"/>
  <c r="AZ108" i="74"/>
  <c r="AS109" i="74"/>
  <c r="AZ109" i="74"/>
  <c r="AS110" i="74"/>
  <c r="AZ110" i="74"/>
  <c r="AS111" i="74"/>
  <c r="AZ111" i="74"/>
  <c r="AS112" i="74"/>
  <c r="AZ112" i="74"/>
  <c r="AS113" i="74"/>
  <c r="AZ113" i="74"/>
  <c r="AS114" i="74"/>
  <c r="AZ114" i="74"/>
  <c r="BA5" i="74"/>
  <c r="R14" i="74"/>
  <c r="AX4" i="74"/>
  <c r="AY4" i="74"/>
  <c r="AZ4" i="74"/>
  <c r="S14" i="74"/>
  <c r="T14" i="74"/>
  <c r="V14" i="74"/>
  <c r="I24" i="74"/>
  <c r="I25" i="74"/>
  <c r="V9" i="74"/>
  <c r="I31" i="74"/>
  <c r="V10" i="74"/>
  <c r="I32" i="74"/>
  <c r="AB8" i="74"/>
  <c r="AB15" i="74"/>
  <c r="W16" i="74"/>
  <c r="W17" i="74"/>
  <c r="G28" i="74"/>
  <c r="G27" i="74"/>
  <c r="AT114" i="74"/>
  <c r="AV114" i="74"/>
  <c r="AW114" i="74"/>
  <c r="AX114" i="74"/>
  <c r="AY114" i="74"/>
  <c r="AT113" i="74"/>
  <c r="AV113" i="74"/>
  <c r="AW113" i="74"/>
  <c r="AX113" i="74"/>
  <c r="AY113" i="74"/>
  <c r="AT112" i="74"/>
  <c r="AV112" i="74"/>
  <c r="AW112" i="74"/>
  <c r="AX112" i="74"/>
  <c r="AY112" i="74"/>
  <c r="AT111" i="74"/>
  <c r="AV111" i="74"/>
  <c r="AW111" i="74"/>
  <c r="AX111" i="74"/>
  <c r="AY111" i="74"/>
  <c r="AT110" i="74"/>
  <c r="AV110" i="74"/>
  <c r="AW110" i="74"/>
  <c r="AX110" i="74"/>
  <c r="AY110" i="74"/>
  <c r="AT109" i="74"/>
  <c r="AV109" i="74"/>
  <c r="AW109" i="74"/>
  <c r="AX109" i="74"/>
  <c r="AY109" i="74"/>
  <c r="AT108" i="74"/>
  <c r="AV108" i="74"/>
  <c r="AW108" i="74"/>
  <c r="AX108" i="74"/>
  <c r="AY108" i="74"/>
  <c r="AT107" i="74"/>
  <c r="AV107" i="74"/>
  <c r="AW107" i="74"/>
  <c r="AX107" i="74"/>
  <c r="AY107" i="74"/>
  <c r="AT106" i="74"/>
  <c r="AV106" i="74"/>
  <c r="AW106" i="74"/>
  <c r="AX106" i="74"/>
  <c r="AY106" i="74"/>
  <c r="AT105" i="74"/>
  <c r="AV105" i="74"/>
  <c r="AW105" i="74"/>
  <c r="AX105" i="74"/>
  <c r="AY105" i="74"/>
  <c r="AT104" i="74"/>
  <c r="AV104" i="74"/>
  <c r="AW104" i="74"/>
  <c r="AX104" i="74"/>
  <c r="AY104" i="74"/>
  <c r="AT103" i="74"/>
  <c r="AV103" i="74"/>
  <c r="AW103" i="74"/>
  <c r="AX103" i="74"/>
  <c r="AY103" i="74"/>
  <c r="AT102" i="74"/>
  <c r="AV102" i="74"/>
  <c r="AW102" i="74"/>
  <c r="AX102" i="74"/>
  <c r="AY102" i="74"/>
  <c r="AT101" i="74"/>
  <c r="AV101" i="74"/>
  <c r="AW101" i="74"/>
  <c r="AX101" i="74"/>
  <c r="AY101" i="74"/>
  <c r="AT100" i="74"/>
  <c r="AV100" i="74"/>
  <c r="AW100" i="74"/>
  <c r="AX100" i="74"/>
  <c r="AY100" i="74"/>
  <c r="AT99" i="74"/>
  <c r="AV99" i="74"/>
  <c r="AW99" i="74"/>
  <c r="AX99" i="74"/>
  <c r="AY99" i="74"/>
  <c r="AT98" i="74"/>
  <c r="AV98" i="74"/>
  <c r="AW98" i="74"/>
  <c r="AX98" i="74"/>
  <c r="AY98" i="74"/>
  <c r="AT97" i="74"/>
  <c r="AV97" i="74"/>
  <c r="AW97" i="74"/>
  <c r="AX97" i="74"/>
  <c r="AY97" i="74"/>
  <c r="AT96" i="74"/>
  <c r="AV96" i="74"/>
  <c r="AW96" i="74"/>
  <c r="AX96" i="74"/>
  <c r="AY96" i="74"/>
  <c r="AT95" i="74"/>
  <c r="AV95" i="74"/>
  <c r="AW95" i="74"/>
  <c r="AX95" i="74"/>
  <c r="AY95" i="74"/>
  <c r="AT94" i="74"/>
  <c r="AV94" i="74"/>
  <c r="AW94" i="74"/>
  <c r="AX94" i="74"/>
  <c r="AY94" i="74"/>
  <c r="AT93" i="74"/>
  <c r="AV93" i="74"/>
  <c r="AW93" i="74"/>
  <c r="AX93" i="74"/>
  <c r="AY93" i="74"/>
  <c r="AT92" i="74"/>
  <c r="AV92" i="74"/>
  <c r="AW92" i="74"/>
  <c r="AX92" i="74"/>
  <c r="AY92" i="74"/>
  <c r="AT91" i="74"/>
  <c r="AV91" i="74"/>
  <c r="AW91" i="74"/>
  <c r="AX91" i="74"/>
  <c r="AY91" i="74"/>
  <c r="AT90" i="74"/>
  <c r="AV90" i="74"/>
  <c r="AW90" i="74"/>
  <c r="AX90" i="74"/>
  <c r="AY90" i="74"/>
  <c r="AT89" i="74"/>
  <c r="AV89" i="74"/>
  <c r="AW89" i="74"/>
  <c r="AX89" i="74"/>
  <c r="AY89" i="74"/>
  <c r="AT88" i="74"/>
  <c r="AV88" i="74"/>
  <c r="AW88" i="74"/>
  <c r="AX88" i="74"/>
  <c r="AY88" i="74"/>
  <c r="AT87" i="74"/>
  <c r="AV87" i="74"/>
  <c r="AW87" i="74"/>
  <c r="AX87" i="74"/>
  <c r="AY87" i="74"/>
  <c r="AT86" i="74"/>
  <c r="AV86" i="74"/>
  <c r="AW86" i="74"/>
  <c r="AX86" i="74"/>
  <c r="AY86" i="74"/>
  <c r="AT85" i="74"/>
  <c r="AV85" i="74"/>
  <c r="AW85" i="74"/>
  <c r="AX85" i="74"/>
  <c r="AY85" i="74"/>
  <c r="AT84" i="74"/>
  <c r="AV84" i="74"/>
  <c r="AW84" i="74"/>
  <c r="AX84" i="74"/>
  <c r="AY84" i="74"/>
  <c r="AT83" i="74"/>
  <c r="AV83" i="74"/>
  <c r="AW83" i="74"/>
  <c r="AX83" i="74"/>
  <c r="AY83" i="74"/>
  <c r="AT82" i="74"/>
  <c r="AV82" i="74"/>
  <c r="AW82" i="74"/>
  <c r="AX82" i="74"/>
  <c r="AY82" i="74"/>
  <c r="AT81" i="74"/>
  <c r="AV81" i="74"/>
  <c r="AW81" i="74"/>
  <c r="AX81" i="74"/>
  <c r="AY81" i="74"/>
  <c r="AT80" i="74"/>
  <c r="AV80" i="74"/>
  <c r="AW80" i="74"/>
  <c r="AX80" i="74"/>
  <c r="AY80" i="74"/>
  <c r="AT79" i="74"/>
  <c r="AV79" i="74"/>
  <c r="AW79" i="74"/>
  <c r="AX79" i="74"/>
  <c r="AY79" i="74"/>
  <c r="AT78" i="74"/>
  <c r="AV78" i="74"/>
  <c r="AW78" i="74"/>
  <c r="AX78" i="74"/>
  <c r="AY78" i="74"/>
  <c r="AT77" i="74"/>
  <c r="AV77" i="74"/>
  <c r="AW77" i="74"/>
  <c r="AX77" i="74"/>
  <c r="AY77" i="74"/>
  <c r="AT76" i="74"/>
  <c r="AV76" i="74"/>
  <c r="AW76" i="74"/>
  <c r="AX76" i="74"/>
  <c r="AY76" i="74"/>
  <c r="AT75" i="74"/>
  <c r="AV75" i="74"/>
  <c r="AW75" i="74"/>
  <c r="AX75" i="74"/>
  <c r="AY75" i="74"/>
  <c r="AT74" i="74"/>
  <c r="AV74" i="74"/>
  <c r="AW74" i="74"/>
  <c r="AX74" i="74"/>
  <c r="AY74" i="74"/>
  <c r="AT73" i="74"/>
  <c r="AV73" i="74"/>
  <c r="AW73" i="74"/>
  <c r="AX73" i="74"/>
  <c r="AY73" i="74"/>
  <c r="AT72" i="74"/>
  <c r="AV72" i="74"/>
  <c r="AW72" i="74"/>
  <c r="AX72" i="74"/>
  <c r="AY72" i="74"/>
  <c r="AT71" i="74"/>
  <c r="AV71" i="74"/>
  <c r="AW71" i="74"/>
  <c r="AX71" i="74"/>
  <c r="AY71" i="74"/>
  <c r="AT70" i="74"/>
  <c r="AV70" i="74"/>
  <c r="AW70" i="74"/>
  <c r="AX70" i="74"/>
  <c r="AY70" i="74"/>
  <c r="AT69" i="74"/>
  <c r="AV69" i="74"/>
  <c r="AW69" i="74"/>
  <c r="AX69" i="74"/>
  <c r="AY69" i="74"/>
  <c r="AT68" i="74"/>
  <c r="AV68" i="74"/>
  <c r="AW68" i="74"/>
  <c r="AX68" i="74"/>
  <c r="AY68" i="74"/>
  <c r="AT67" i="74"/>
  <c r="AV67" i="74"/>
  <c r="AW67" i="74"/>
  <c r="AX67" i="74"/>
  <c r="AY67" i="74"/>
  <c r="AT66" i="74"/>
  <c r="AV66" i="74"/>
  <c r="AW66" i="74"/>
  <c r="AX66" i="74"/>
  <c r="AY66" i="74"/>
  <c r="AT65" i="74"/>
  <c r="AV65" i="74"/>
  <c r="AW65" i="74"/>
  <c r="AX65" i="74"/>
  <c r="AY65" i="74"/>
  <c r="AT64" i="74"/>
  <c r="AV64" i="74"/>
  <c r="AW64" i="74"/>
  <c r="AX64" i="74"/>
  <c r="AY64" i="74"/>
  <c r="AT63" i="74"/>
  <c r="AV63" i="74"/>
  <c r="AW63" i="74"/>
  <c r="AX63" i="74"/>
  <c r="AY63" i="74"/>
  <c r="AT62" i="74"/>
  <c r="AV62" i="74"/>
  <c r="AW62" i="74"/>
  <c r="AX62" i="74"/>
  <c r="AY62" i="74"/>
  <c r="AT61" i="74"/>
  <c r="AV61" i="74"/>
  <c r="AW61" i="74"/>
  <c r="AX61" i="74"/>
  <c r="AY61" i="74"/>
  <c r="AT60" i="74"/>
  <c r="AV60" i="74"/>
  <c r="AW60" i="74"/>
  <c r="AX60" i="74"/>
  <c r="AY60" i="74"/>
  <c r="AT59" i="74"/>
  <c r="AV59" i="74"/>
  <c r="AW59" i="74"/>
  <c r="AX59" i="74"/>
  <c r="AY59" i="74"/>
  <c r="AT58" i="74"/>
  <c r="AV58" i="74"/>
  <c r="AW58" i="74"/>
  <c r="AX58" i="74"/>
  <c r="AY58" i="74"/>
  <c r="AT57" i="74"/>
  <c r="AV57" i="74"/>
  <c r="AW57" i="74"/>
  <c r="AX57" i="74"/>
  <c r="AY57" i="74"/>
  <c r="AT56" i="74"/>
  <c r="AV56" i="74"/>
  <c r="AW56" i="74"/>
  <c r="AX56" i="74"/>
  <c r="AY56" i="74"/>
  <c r="AT55" i="74"/>
  <c r="AV55" i="74"/>
  <c r="AW55" i="74"/>
  <c r="AX55" i="74"/>
  <c r="AY55" i="74"/>
  <c r="AT54" i="74"/>
  <c r="AV54" i="74"/>
  <c r="AW54" i="74"/>
  <c r="AX54" i="74"/>
  <c r="AY54" i="74"/>
  <c r="AT53" i="74"/>
  <c r="AV53" i="74"/>
  <c r="AW53" i="74"/>
  <c r="AX53" i="74"/>
  <c r="AY53" i="74"/>
  <c r="AT52" i="74"/>
  <c r="AV52" i="74"/>
  <c r="AW52" i="74"/>
  <c r="AX52" i="74"/>
  <c r="AY52" i="74"/>
  <c r="AT51" i="74"/>
  <c r="AV51" i="74"/>
  <c r="AW51" i="74"/>
  <c r="AX51" i="74"/>
  <c r="AY51" i="74"/>
  <c r="AT50" i="74"/>
  <c r="AV50" i="74"/>
  <c r="AW50" i="74"/>
  <c r="AX50" i="74"/>
  <c r="AY50" i="74"/>
  <c r="AT49" i="74"/>
  <c r="AV49" i="74"/>
  <c r="AW49" i="74"/>
  <c r="AX49" i="74"/>
  <c r="AY49" i="74"/>
  <c r="AT48" i="74"/>
  <c r="AV48" i="74"/>
  <c r="AW48" i="74"/>
  <c r="AX48" i="74"/>
  <c r="AY48" i="74"/>
  <c r="AT47" i="74"/>
  <c r="AV47" i="74"/>
  <c r="AW47" i="74"/>
  <c r="AX47" i="74"/>
  <c r="AY47" i="74"/>
  <c r="AT46" i="74"/>
  <c r="AV46" i="74"/>
  <c r="AW46" i="74"/>
  <c r="AX46" i="74"/>
  <c r="AY46" i="74"/>
  <c r="AT45" i="74"/>
  <c r="AV45" i="74"/>
  <c r="AW45" i="74"/>
  <c r="AX45" i="74"/>
  <c r="AY45" i="74"/>
  <c r="AT44" i="74"/>
  <c r="AV44" i="74"/>
  <c r="AW44" i="74"/>
  <c r="AX44" i="74"/>
  <c r="AY44" i="74"/>
  <c r="AT43" i="74"/>
  <c r="AV43" i="74"/>
  <c r="AW43" i="74"/>
  <c r="AX43" i="74"/>
  <c r="AY43" i="74"/>
  <c r="AT42" i="74"/>
  <c r="AV42" i="74"/>
  <c r="AW42" i="74"/>
  <c r="AX42" i="74"/>
  <c r="AY42" i="74"/>
  <c r="AT41" i="74"/>
  <c r="AV41" i="74"/>
  <c r="AW41" i="74"/>
  <c r="AX41" i="74"/>
  <c r="AY41" i="74"/>
  <c r="AT40" i="74"/>
  <c r="AV40" i="74"/>
  <c r="AW40" i="74"/>
  <c r="AX40" i="74"/>
  <c r="AY40" i="74"/>
  <c r="AT39" i="74"/>
  <c r="AV39" i="74"/>
  <c r="AW39" i="74"/>
  <c r="AX39" i="74"/>
  <c r="AY39" i="74"/>
  <c r="AT38" i="74"/>
  <c r="AV38" i="74"/>
  <c r="AW38" i="74"/>
  <c r="AX38" i="74"/>
  <c r="AY38" i="74"/>
  <c r="AT37" i="74"/>
  <c r="AV37" i="74"/>
  <c r="AW37" i="74"/>
  <c r="AX37" i="74"/>
  <c r="AY37" i="74"/>
  <c r="O37" i="74"/>
  <c r="H37" i="74"/>
  <c r="AT36" i="74"/>
  <c r="AV36" i="74"/>
  <c r="AW36" i="74"/>
  <c r="AX36" i="74"/>
  <c r="AY36" i="74"/>
  <c r="AT35" i="74"/>
  <c r="AV35" i="74"/>
  <c r="AW35" i="74"/>
  <c r="AX35" i="74"/>
  <c r="AY35" i="74"/>
  <c r="AT33" i="74"/>
  <c r="AV33" i="74"/>
  <c r="AW33" i="74"/>
  <c r="AX33" i="74"/>
  <c r="AY33" i="74"/>
  <c r="W33" i="74"/>
  <c r="AT30" i="74"/>
  <c r="AV30" i="74"/>
  <c r="AW30" i="74"/>
  <c r="AX30" i="74"/>
  <c r="AY30" i="74"/>
  <c r="AT29" i="74"/>
  <c r="AV29" i="74"/>
  <c r="AW29" i="74"/>
  <c r="AX29" i="74"/>
  <c r="AY29" i="74"/>
  <c r="AT20" i="74"/>
  <c r="AV20" i="74"/>
  <c r="AW20" i="74"/>
  <c r="AX20" i="74"/>
  <c r="AY20" i="74"/>
  <c r="AT21" i="74"/>
  <c r="AV21" i="74"/>
  <c r="AW21" i="74"/>
  <c r="AX21" i="74"/>
  <c r="AY21" i="74"/>
  <c r="AT22" i="74"/>
  <c r="AV22" i="74"/>
  <c r="AW22" i="74"/>
  <c r="AX22" i="74"/>
  <c r="AY22" i="74"/>
  <c r="AT23" i="74"/>
  <c r="AV23" i="74"/>
  <c r="AW23" i="74"/>
  <c r="AX23" i="74"/>
  <c r="AY23" i="74"/>
  <c r="AT24" i="74"/>
  <c r="AV24" i="74"/>
  <c r="AW24" i="74"/>
  <c r="AX24" i="74"/>
  <c r="AY24" i="74"/>
  <c r="AT28" i="74"/>
  <c r="AV28" i="74"/>
  <c r="AW28" i="74"/>
  <c r="AX28" i="74"/>
  <c r="AY28" i="74"/>
  <c r="AT27" i="74"/>
  <c r="AV27" i="74"/>
  <c r="AW27" i="74"/>
  <c r="AX27" i="74"/>
  <c r="AY27" i="74"/>
  <c r="AT26" i="74"/>
  <c r="AV26" i="74"/>
  <c r="AW26" i="74"/>
  <c r="AX26" i="74"/>
  <c r="AY26" i="74"/>
  <c r="AT25" i="74"/>
  <c r="AV25" i="74"/>
  <c r="AW25" i="74"/>
  <c r="AX25" i="74"/>
  <c r="AY25" i="74"/>
  <c r="W19" i="74"/>
  <c r="T19" i="74"/>
  <c r="S19" i="74"/>
  <c r="T17" i="74"/>
  <c r="S17" i="74"/>
  <c r="T16" i="74"/>
  <c r="S16" i="74"/>
  <c r="AE6" i="74"/>
  <c r="AE8" i="74"/>
  <c r="BB5" i="74"/>
  <c r="S37" i="74"/>
  <c r="R37" i="74"/>
  <c r="T11" i="74"/>
  <c r="V11" i="74"/>
  <c r="I33" i="74"/>
  <c r="S23" i="74"/>
  <c r="W18" i="74"/>
  <c r="S26" i="74"/>
  <c r="S31" i="74"/>
  <c r="W31" i="74"/>
  <c r="S25" i="74"/>
  <c r="S30" i="74"/>
  <c r="W30" i="74"/>
  <c r="S24" i="74"/>
  <c r="S29" i="74"/>
  <c r="W29" i="74"/>
  <c r="S27" i="74"/>
  <c r="W27" i="74"/>
  <c r="W26" i="74"/>
  <c r="W25" i="74"/>
  <c r="W24" i="74"/>
  <c r="V19" i="74"/>
  <c r="V18" i="74"/>
  <c r="T18" i="74"/>
  <c r="S18" i="74"/>
  <c r="V17" i="74"/>
  <c r="V16" i="74"/>
  <c r="U11" i="74"/>
  <c r="D37" i="53"/>
  <c r="R5" i="53"/>
  <c r="S5" i="53"/>
  <c r="G37" i="53"/>
  <c r="T5" i="53"/>
  <c r="V5" i="53"/>
  <c r="AB7" i="53"/>
  <c r="AB14" i="53"/>
  <c r="S10" i="53"/>
  <c r="T10" i="53"/>
  <c r="I22" i="53"/>
  <c r="AS5" i="53"/>
  <c r="AS6" i="53"/>
  <c r="Q37" i="53"/>
  <c r="AT4" i="53"/>
  <c r="AU4" i="53"/>
  <c r="AT5" i="53"/>
  <c r="AV5" i="53"/>
  <c r="AW5" i="53"/>
  <c r="AX5" i="53"/>
  <c r="J37" i="53"/>
  <c r="AY5" i="53"/>
  <c r="AZ5" i="53"/>
  <c r="AS7" i="53"/>
  <c r="AT6" i="53"/>
  <c r="AV6" i="53"/>
  <c r="AW6" i="53"/>
  <c r="AX6" i="53"/>
  <c r="AY6" i="53"/>
  <c r="AZ6" i="53"/>
  <c r="AS8" i="53"/>
  <c r="AT7" i="53"/>
  <c r="AV7" i="53"/>
  <c r="AW7" i="53"/>
  <c r="AX7" i="53"/>
  <c r="AY7" i="53"/>
  <c r="AZ7" i="53"/>
  <c r="AS9" i="53"/>
  <c r="AT8" i="53"/>
  <c r="AV8" i="53"/>
  <c r="AW8" i="53"/>
  <c r="AX8" i="53"/>
  <c r="AY8" i="53"/>
  <c r="AZ8" i="53"/>
  <c r="AS10" i="53"/>
  <c r="AT9" i="53"/>
  <c r="AV9" i="53"/>
  <c r="AW9" i="53"/>
  <c r="AX9" i="53"/>
  <c r="AY9" i="53"/>
  <c r="AZ9" i="53"/>
  <c r="AS11" i="53"/>
  <c r="AT10" i="53"/>
  <c r="AV10" i="53"/>
  <c r="AW10" i="53"/>
  <c r="AX10" i="53"/>
  <c r="AY10" i="53"/>
  <c r="AZ10" i="53"/>
  <c r="AS12" i="53"/>
  <c r="AT11" i="53"/>
  <c r="AV11" i="53"/>
  <c r="AW11" i="53"/>
  <c r="AX11" i="53"/>
  <c r="AY11" i="53"/>
  <c r="AZ11" i="53"/>
  <c r="AS13" i="53"/>
  <c r="AT12" i="53"/>
  <c r="AV12" i="53"/>
  <c r="AW12" i="53"/>
  <c r="AX12" i="53"/>
  <c r="AY12" i="53"/>
  <c r="AZ12" i="53"/>
  <c r="AS14" i="53"/>
  <c r="AT13" i="53"/>
  <c r="AV13" i="53"/>
  <c r="AW13" i="53"/>
  <c r="AX13" i="53"/>
  <c r="AY13" i="53"/>
  <c r="AZ13" i="53"/>
  <c r="AS15" i="53"/>
  <c r="AT14" i="53"/>
  <c r="AV14" i="53"/>
  <c r="AW14" i="53"/>
  <c r="AX14" i="53"/>
  <c r="AY14" i="53"/>
  <c r="AZ14" i="53"/>
  <c r="AS16" i="53"/>
  <c r="AT15" i="53"/>
  <c r="AV15" i="53"/>
  <c r="AW15" i="53"/>
  <c r="AX15" i="53"/>
  <c r="AY15" i="53"/>
  <c r="AZ15" i="53"/>
  <c r="AS17" i="53"/>
  <c r="AT16" i="53"/>
  <c r="AV16" i="53"/>
  <c r="AW16" i="53"/>
  <c r="AX16" i="53"/>
  <c r="AY16" i="53"/>
  <c r="AZ16" i="53"/>
  <c r="AS18" i="53"/>
  <c r="AT17" i="53"/>
  <c r="AV17" i="53"/>
  <c r="AW17" i="53"/>
  <c r="AX17" i="53"/>
  <c r="AY17" i="53"/>
  <c r="AZ17" i="53"/>
  <c r="AS19" i="53"/>
  <c r="AT18" i="53"/>
  <c r="AV18" i="53"/>
  <c r="AW18" i="53"/>
  <c r="AX18" i="53"/>
  <c r="AY18" i="53"/>
  <c r="AZ18" i="53"/>
  <c r="AS20" i="53"/>
  <c r="AT19" i="53"/>
  <c r="AV19" i="53"/>
  <c r="AW19" i="53"/>
  <c r="AX19" i="53"/>
  <c r="AY19" i="53"/>
  <c r="AZ19" i="53"/>
  <c r="AS21" i="53"/>
  <c r="AT20" i="53"/>
  <c r="AV20" i="53"/>
  <c r="AW20" i="53"/>
  <c r="AX20" i="53"/>
  <c r="AY20" i="53"/>
  <c r="AZ20" i="53"/>
  <c r="AS22" i="53"/>
  <c r="AT21" i="53"/>
  <c r="AV21" i="53"/>
  <c r="AW21" i="53"/>
  <c r="AX21" i="53"/>
  <c r="AY21" i="53"/>
  <c r="AZ21" i="53"/>
  <c r="AS23" i="53"/>
  <c r="AT22" i="53"/>
  <c r="AV22" i="53"/>
  <c r="AW22" i="53"/>
  <c r="AX22" i="53"/>
  <c r="AY22" i="53"/>
  <c r="AZ22" i="53"/>
  <c r="AS24" i="53"/>
  <c r="AT23" i="53"/>
  <c r="AV23" i="53"/>
  <c r="AW23" i="53"/>
  <c r="AX23" i="53"/>
  <c r="AY23" i="53"/>
  <c r="AZ23" i="53"/>
  <c r="AS25" i="53"/>
  <c r="AT24" i="53"/>
  <c r="AV24" i="53"/>
  <c r="AW24" i="53"/>
  <c r="AX24" i="53"/>
  <c r="AY24" i="53"/>
  <c r="AZ24" i="53"/>
  <c r="AZ25" i="53"/>
  <c r="AS26" i="53"/>
  <c r="AZ26" i="53"/>
  <c r="AS27" i="53"/>
  <c r="AZ27" i="53"/>
  <c r="AS28" i="53"/>
  <c r="AZ28" i="53"/>
  <c r="AS29" i="53"/>
  <c r="AZ29" i="53"/>
  <c r="AS30" i="53"/>
  <c r="AZ30" i="53"/>
  <c r="AS33" i="53"/>
  <c r="AZ33" i="53"/>
  <c r="AS35" i="53"/>
  <c r="AZ35" i="53"/>
  <c r="AS36" i="53"/>
  <c r="AZ36" i="53"/>
  <c r="AS37" i="53"/>
  <c r="AZ37" i="53"/>
  <c r="AS38" i="53"/>
  <c r="AZ38" i="53"/>
  <c r="AS39" i="53"/>
  <c r="AZ39" i="53"/>
  <c r="AS40" i="53"/>
  <c r="AZ40" i="53"/>
  <c r="AS41" i="53"/>
  <c r="AZ41" i="53"/>
  <c r="AS42" i="53"/>
  <c r="AZ42" i="53"/>
  <c r="AS43" i="53"/>
  <c r="AZ43" i="53"/>
  <c r="AS44" i="53"/>
  <c r="AZ44" i="53"/>
  <c r="AS45" i="53"/>
  <c r="AZ45" i="53"/>
  <c r="AS46" i="53"/>
  <c r="AZ46" i="53"/>
  <c r="AS47" i="53"/>
  <c r="AZ47" i="53"/>
  <c r="AS48" i="53"/>
  <c r="AZ48" i="53"/>
  <c r="AS49" i="53"/>
  <c r="AZ49" i="53"/>
  <c r="AS50" i="53"/>
  <c r="AZ50" i="53"/>
  <c r="AS51" i="53"/>
  <c r="AZ51" i="53"/>
  <c r="AS52" i="53"/>
  <c r="AZ52" i="53"/>
  <c r="AS53" i="53"/>
  <c r="AZ53" i="53"/>
  <c r="AS54" i="53"/>
  <c r="AZ54" i="53"/>
  <c r="AS55" i="53"/>
  <c r="AZ55" i="53"/>
  <c r="AS56" i="53"/>
  <c r="AZ56" i="53"/>
  <c r="AS57" i="53"/>
  <c r="AZ57" i="53"/>
  <c r="AS58" i="53"/>
  <c r="AZ58" i="53"/>
  <c r="AS59" i="53"/>
  <c r="AZ59" i="53"/>
  <c r="AS60" i="53"/>
  <c r="AZ60" i="53"/>
  <c r="AS61" i="53"/>
  <c r="AZ61" i="53"/>
  <c r="AS62" i="53"/>
  <c r="AZ62" i="53"/>
  <c r="AS63" i="53"/>
  <c r="AZ63" i="53"/>
  <c r="AS64" i="53"/>
  <c r="AZ64" i="53"/>
  <c r="AS65" i="53"/>
  <c r="AZ65" i="53"/>
  <c r="AS66" i="53"/>
  <c r="AZ66" i="53"/>
  <c r="AS67" i="53"/>
  <c r="AZ67" i="53"/>
  <c r="AS68" i="53"/>
  <c r="AZ68" i="53"/>
  <c r="AS69" i="53"/>
  <c r="AZ69" i="53"/>
  <c r="AS70" i="53"/>
  <c r="AZ70" i="53"/>
  <c r="AS71" i="53"/>
  <c r="AZ71" i="53"/>
  <c r="AS72" i="53"/>
  <c r="AZ72" i="53"/>
  <c r="AS73" i="53"/>
  <c r="AZ73" i="53"/>
  <c r="AS74" i="53"/>
  <c r="AZ74" i="53"/>
  <c r="AS75" i="53"/>
  <c r="AZ75" i="53"/>
  <c r="AS76" i="53"/>
  <c r="AZ76" i="53"/>
  <c r="AS77" i="53"/>
  <c r="AZ77" i="53"/>
  <c r="AS78" i="53"/>
  <c r="AZ78" i="53"/>
  <c r="AS79" i="53"/>
  <c r="AZ79" i="53"/>
  <c r="AS80" i="53"/>
  <c r="AZ80" i="53"/>
  <c r="AS81" i="53"/>
  <c r="AZ81" i="53"/>
  <c r="AS82" i="53"/>
  <c r="AZ82" i="53"/>
  <c r="AS83" i="53"/>
  <c r="AZ83" i="53"/>
  <c r="AS84" i="53"/>
  <c r="AZ84" i="53"/>
  <c r="AS85" i="53"/>
  <c r="AZ85" i="53"/>
  <c r="AS86" i="53"/>
  <c r="AZ86" i="53"/>
  <c r="AS87" i="53"/>
  <c r="AZ87" i="53"/>
  <c r="AS88" i="53"/>
  <c r="AZ88" i="53"/>
  <c r="AS89" i="53"/>
  <c r="AZ89" i="53"/>
  <c r="AS90" i="53"/>
  <c r="AZ90" i="53"/>
  <c r="AS91" i="53"/>
  <c r="AZ91" i="53"/>
  <c r="AS92" i="53"/>
  <c r="AZ92" i="53"/>
  <c r="AS93" i="53"/>
  <c r="AZ93" i="53"/>
  <c r="AS94" i="53"/>
  <c r="AZ94" i="53"/>
  <c r="AS95" i="53"/>
  <c r="AZ95" i="53"/>
  <c r="AS96" i="53"/>
  <c r="AZ96" i="53"/>
  <c r="AS97" i="53"/>
  <c r="AZ97" i="53"/>
  <c r="AS98" i="53"/>
  <c r="AZ98" i="53"/>
  <c r="AS99" i="53"/>
  <c r="AZ99" i="53"/>
  <c r="AS100" i="53"/>
  <c r="AZ100" i="53"/>
  <c r="AS101" i="53"/>
  <c r="AZ101" i="53"/>
  <c r="AS102" i="53"/>
  <c r="AZ102" i="53"/>
  <c r="AS103" i="53"/>
  <c r="AZ103" i="53"/>
  <c r="AS104" i="53"/>
  <c r="AZ104" i="53"/>
  <c r="AS105" i="53"/>
  <c r="AZ105" i="53"/>
  <c r="AS106" i="53"/>
  <c r="AZ106" i="53"/>
  <c r="AS107" i="53"/>
  <c r="AZ107" i="53"/>
  <c r="AS108" i="53"/>
  <c r="AZ108" i="53"/>
  <c r="AS109" i="53"/>
  <c r="AZ109" i="53"/>
  <c r="AS110" i="53"/>
  <c r="AZ110" i="53"/>
  <c r="AS111" i="53"/>
  <c r="AZ111" i="53"/>
  <c r="AS112" i="53"/>
  <c r="AZ112" i="53"/>
  <c r="AS113" i="53"/>
  <c r="AZ113" i="53"/>
  <c r="AS114" i="53"/>
  <c r="AZ114" i="53"/>
  <c r="BA5" i="53"/>
  <c r="R14" i="53"/>
  <c r="AX4" i="53"/>
  <c r="AY4" i="53"/>
  <c r="AZ4" i="53"/>
  <c r="S14" i="53"/>
  <c r="T14" i="53"/>
  <c r="V14" i="53"/>
  <c r="W19" i="53"/>
  <c r="R6" i="53"/>
  <c r="S6" i="53"/>
  <c r="W37" i="53"/>
  <c r="V37" i="53"/>
  <c r="T6" i="53"/>
  <c r="S12" i="53"/>
  <c r="T12" i="53"/>
  <c r="AB6" i="53"/>
  <c r="AB13" i="53"/>
  <c r="S9" i="53"/>
  <c r="T9" i="53"/>
  <c r="AB8" i="53"/>
  <c r="AB15" i="53"/>
  <c r="U37" i="53"/>
  <c r="W17" i="53"/>
  <c r="W16" i="53"/>
  <c r="T19" i="53"/>
  <c r="S19" i="53"/>
  <c r="T17" i="53"/>
  <c r="S17" i="53"/>
  <c r="T16" i="53"/>
  <c r="S16" i="53"/>
  <c r="I34" i="53"/>
  <c r="V10" i="53"/>
  <c r="I32" i="53"/>
  <c r="V9" i="53"/>
  <c r="I31" i="53"/>
  <c r="I23" i="53"/>
  <c r="I21" i="53"/>
  <c r="I24" i="53"/>
  <c r="G29" i="53"/>
  <c r="G28" i="53"/>
  <c r="G27" i="53"/>
  <c r="I25" i="53"/>
  <c r="W33" i="53"/>
  <c r="AE6" i="53"/>
  <c r="AE8" i="53"/>
  <c r="AT114" i="53"/>
  <c r="AV114" i="53"/>
  <c r="AW114" i="53"/>
  <c r="AX114" i="53"/>
  <c r="AY114" i="53"/>
  <c r="AT113" i="53"/>
  <c r="AV113" i="53"/>
  <c r="AW113" i="53"/>
  <c r="AX113" i="53"/>
  <c r="AY113" i="53"/>
  <c r="AT112" i="53"/>
  <c r="AV112" i="53"/>
  <c r="AW112" i="53"/>
  <c r="AX112" i="53"/>
  <c r="AY112" i="53"/>
  <c r="AT111" i="53"/>
  <c r="AV111" i="53"/>
  <c r="AW111" i="53"/>
  <c r="AX111" i="53"/>
  <c r="AY111" i="53"/>
  <c r="AT110" i="53"/>
  <c r="AV110" i="53"/>
  <c r="AW110" i="53"/>
  <c r="AX110" i="53"/>
  <c r="AY110" i="53"/>
  <c r="AT109" i="53"/>
  <c r="AV109" i="53"/>
  <c r="AW109" i="53"/>
  <c r="AX109" i="53"/>
  <c r="AY109" i="53"/>
  <c r="AT108" i="53"/>
  <c r="AV108" i="53"/>
  <c r="AW108" i="53"/>
  <c r="AX108" i="53"/>
  <c r="AY108" i="53"/>
  <c r="AT107" i="53"/>
  <c r="AV107" i="53"/>
  <c r="AW107" i="53"/>
  <c r="AX107" i="53"/>
  <c r="AY107" i="53"/>
  <c r="AT106" i="53"/>
  <c r="AV106" i="53"/>
  <c r="AW106" i="53"/>
  <c r="AX106" i="53"/>
  <c r="AY106" i="53"/>
  <c r="AT105" i="53"/>
  <c r="AV105" i="53"/>
  <c r="AW105" i="53"/>
  <c r="AX105" i="53"/>
  <c r="AY105" i="53"/>
  <c r="AT104" i="53"/>
  <c r="AV104" i="53"/>
  <c r="AW104" i="53"/>
  <c r="AX104" i="53"/>
  <c r="AY104" i="53"/>
  <c r="AT103" i="53"/>
  <c r="AV103" i="53"/>
  <c r="AW103" i="53"/>
  <c r="AX103" i="53"/>
  <c r="AY103" i="53"/>
  <c r="AT102" i="53"/>
  <c r="AV102" i="53"/>
  <c r="AW102" i="53"/>
  <c r="AX102" i="53"/>
  <c r="AY102" i="53"/>
  <c r="AT101" i="53"/>
  <c r="AV101" i="53"/>
  <c r="AW101" i="53"/>
  <c r="AX101" i="53"/>
  <c r="AY101" i="53"/>
  <c r="AT100" i="53"/>
  <c r="AV100" i="53"/>
  <c r="AW100" i="53"/>
  <c r="AX100" i="53"/>
  <c r="AY100" i="53"/>
  <c r="AT99" i="53"/>
  <c r="AV99" i="53"/>
  <c r="AW99" i="53"/>
  <c r="AX99" i="53"/>
  <c r="AY99" i="53"/>
  <c r="AT98" i="53"/>
  <c r="AV98" i="53"/>
  <c r="AW98" i="53"/>
  <c r="AX98" i="53"/>
  <c r="AY98" i="53"/>
  <c r="AT97" i="53"/>
  <c r="AV97" i="53"/>
  <c r="AW97" i="53"/>
  <c r="AX97" i="53"/>
  <c r="AY97" i="53"/>
  <c r="AT96" i="53"/>
  <c r="AV96" i="53"/>
  <c r="AW96" i="53"/>
  <c r="AX96" i="53"/>
  <c r="AY96" i="53"/>
  <c r="AT95" i="53"/>
  <c r="AV95" i="53"/>
  <c r="AW95" i="53"/>
  <c r="AX95" i="53"/>
  <c r="AY95" i="53"/>
  <c r="AT94" i="53"/>
  <c r="AV94" i="53"/>
  <c r="AW94" i="53"/>
  <c r="AX94" i="53"/>
  <c r="AY94" i="53"/>
  <c r="AT93" i="53"/>
  <c r="AV93" i="53"/>
  <c r="AW93" i="53"/>
  <c r="AX93" i="53"/>
  <c r="AY93" i="53"/>
  <c r="AT92" i="53"/>
  <c r="AV92" i="53"/>
  <c r="AW92" i="53"/>
  <c r="AX92" i="53"/>
  <c r="AY92" i="53"/>
  <c r="AT91" i="53"/>
  <c r="AV91" i="53"/>
  <c r="AW91" i="53"/>
  <c r="AX91" i="53"/>
  <c r="AY91" i="53"/>
  <c r="AT90" i="53"/>
  <c r="AV90" i="53"/>
  <c r="AW90" i="53"/>
  <c r="AX90" i="53"/>
  <c r="AY90" i="53"/>
  <c r="AT89" i="53"/>
  <c r="AV89" i="53"/>
  <c r="AW89" i="53"/>
  <c r="AX89" i="53"/>
  <c r="AY89" i="53"/>
  <c r="AT88" i="53"/>
  <c r="AV88" i="53"/>
  <c r="AW88" i="53"/>
  <c r="AX88" i="53"/>
  <c r="AY88" i="53"/>
  <c r="AT87" i="53"/>
  <c r="AV87" i="53"/>
  <c r="AW87" i="53"/>
  <c r="AX87" i="53"/>
  <c r="AY87" i="53"/>
  <c r="AT86" i="53"/>
  <c r="AV86" i="53"/>
  <c r="AW86" i="53"/>
  <c r="AX86" i="53"/>
  <c r="AY86" i="53"/>
  <c r="AT85" i="53"/>
  <c r="AV85" i="53"/>
  <c r="AW85" i="53"/>
  <c r="AX85" i="53"/>
  <c r="AY85" i="53"/>
  <c r="AT84" i="53"/>
  <c r="AV84" i="53"/>
  <c r="AW84" i="53"/>
  <c r="AX84" i="53"/>
  <c r="AY84" i="53"/>
  <c r="AT83" i="53"/>
  <c r="AV83" i="53"/>
  <c r="AW83" i="53"/>
  <c r="AX83" i="53"/>
  <c r="AY83" i="53"/>
  <c r="AT82" i="53"/>
  <c r="AV82" i="53"/>
  <c r="AW82" i="53"/>
  <c r="AX82" i="53"/>
  <c r="AY82" i="53"/>
  <c r="AT81" i="53"/>
  <c r="AV81" i="53"/>
  <c r="AW81" i="53"/>
  <c r="AX81" i="53"/>
  <c r="AY81" i="53"/>
  <c r="AT80" i="53"/>
  <c r="AV80" i="53"/>
  <c r="AW80" i="53"/>
  <c r="AX80" i="53"/>
  <c r="AY80" i="53"/>
  <c r="AT79" i="53"/>
  <c r="AV79" i="53"/>
  <c r="AW79" i="53"/>
  <c r="AX79" i="53"/>
  <c r="AY79" i="53"/>
  <c r="AT78" i="53"/>
  <c r="AV78" i="53"/>
  <c r="AW78" i="53"/>
  <c r="AX78" i="53"/>
  <c r="AY78" i="53"/>
  <c r="AT77" i="53"/>
  <c r="AV77" i="53"/>
  <c r="AW77" i="53"/>
  <c r="AX77" i="53"/>
  <c r="AY77" i="53"/>
  <c r="AT76" i="53"/>
  <c r="AV76" i="53"/>
  <c r="AW76" i="53"/>
  <c r="AX76" i="53"/>
  <c r="AY76" i="53"/>
  <c r="AT75" i="53"/>
  <c r="AV75" i="53"/>
  <c r="AW75" i="53"/>
  <c r="AX75" i="53"/>
  <c r="AY75" i="53"/>
  <c r="AT74" i="53"/>
  <c r="AV74" i="53"/>
  <c r="AW74" i="53"/>
  <c r="AX74" i="53"/>
  <c r="AY74" i="53"/>
  <c r="AT73" i="53"/>
  <c r="AV73" i="53"/>
  <c r="AW73" i="53"/>
  <c r="AX73" i="53"/>
  <c r="AY73" i="53"/>
  <c r="AT72" i="53"/>
  <c r="AV72" i="53"/>
  <c r="AW72" i="53"/>
  <c r="AX72" i="53"/>
  <c r="AY72" i="53"/>
  <c r="AT71" i="53"/>
  <c r="AV71" i="53"/>
  <c r="AW71" i="53"/>
  <c r="AX71" i="53"/>
  <c r="AY71" i="53"/>
  <c r="AT70" i="53"/>
  <c r="AV70" i="53"/>
  <c r="AW70" i="53"/>
  <c r="AX70" i="53"/>
  <c r="AY70" i="53"/>
  <c r="AT69" i="53"/>
  <c r="AV69" i="53"/>
  <c r="AW69" i="53"/>
  <c r="AX69" i="53"/>
  <c r="AY69" i="53"/>
  <c r="AT68" i="53"/>
  <c r="AV68" i="53"/>
  <c r="AW68" i="53"/>
  <c r="AX68" i="53"/>
  <c r="AY68" i="53"/>
  <c r="AT67" i="53"/>
  <c r="AV67" i="53"/>
  <c r="AW67" i="53"/>
  <c r="AX67" i="53"/>
  <c r="AY67" i="53"/>
  <c r="AT66" i="53"/>
  <c r="AV66" i="53"/>
  <c r="AW66" i="53"/>
  <c r="AX66" i="53"/>
  <c r="AY66" i="53"/>
  <c r="AT65" i="53"/>
  <c r="AV65" i="53"/>
  <c r="AW65" i="53"/>
  <c r="AX65" i="53"/>
  <c r="AY65" i="53"/>
  <c r="AT64" i="53"/>
  <c r="AV64" i="53"/>
  <c r="AW64" i="53"/>
  <c r="AX64" i="53"/>
  <c r="AY64" i="53"/>
  <c r="AT63" i="53"/>
  <c r="AV63" i="53"/>
  <c r="AW63" i="53"/>
  <c r="AX63" i="53"/>
  <c r="AY63" i="53"/>
  <c r="AT62" i="53"/>
  <c r="AV62" i="53"/>
  <c r="AW62" i="53"/>
  <c r="AX62" i="53"/>
  <c r="AY62" i="53"/>
  <c r="AT61" i="53"/>
  <c r="AV61" i="53"/>
  <c r="AW61" i="53"/>
  <c r="AX61" i="53"/>
  <c r="AY61" i="53"/>
  <c r="AT60" i="53"/>
  <c r="AV60" i="53"/>
  <c r="AW60" i="53"/>
  <c r="AX60" i="53"/>
  <c r="AY60" i="53"/>
  <c r="AT59" i="53"/>
  <c r="AV59" i="53"/>
  <c r="AW59" i="53"/>
  <c r="AX59" i="53"/>
  <c r="AY59" i="53"/>
  <c r="AT58" i="53"/>
  <c r="AV58" i="53"/>
  <c r="AW58" i="53"/>
  <c r="AX58" i="53"/>
  <c r="AY58" i="53"/>
  <c r="AT57" i="53"/>
  <c r="AV57" i="53"/>
  <c r="AW57" i="53"/>
  <c r="AX57" i="53"/>
  <c r="AY57" i="53"/>
  <c r="AT56" i="53"/>
  <c r="AV56" i="53"/>
  <c r="AW56" i="53"/>
  <c r="AX56" i="53"/>
  <c r="AY56" i="53"/>
  <c r="AT55" i="53"/>
  <c r="AV55" i="53"/>
  <c r="AW55" i="53"/>
  <c r="AX55" i="53"/>
  <c r="AY55" i="53"/>
  <c r="AT54" i="53"/>
  <c r="AV54" i="53"/>
  <c r="AW54" i="53"/>
  <c r="AX54" i="53"/>
  <c r="AY54" i="53"/>
  <c r="AT53" i="53"/>
  <c r="AV53" i="53"/>
  <c r="AW53" i="53"/>
  <c r="AX53" i="53"/>
  <c r="AY53" i="53"/>
  <c r="AT52" i="53"/>
  <c r="AV52" i="53"/>
  <c r="AW52" i="53"/>
  <c r="AX52" i="53"/>
  <c r="AY52" i="53"/>
  <c r="AT51" i="53"/>
  <c r="AV51" i="53"/>
  <c r="AW51" i="53"/>
  <c r="AX51" i="53"/>
  <c r="AY51" i="53"/>
  <c r="AT50" i="53"/>
  <c r="AV50" i="53"/>
  <c r="AW50" i="53"/>
  <c r="AX50" i="53"/>
  <c r="AY50" i="53"/>
  <c r="AT49" i="53"/>
  <c r="AV49" i="53"/>
  <c r="AW49" i="53"/>
  <c r="AX49" i="53"/>
  <c r="AY49" i="53"/>
  <c r="AT48" i="53"/>
  <c r="AV48" i="53"/>
  <c r="AW48" i="53"/>
  <c r="AX48" i="53"/>
  <c r="AY48" i="53"/>
  <c r="AT47" i="53"/>
  <c r="AV47" i="53"/>
  <c r="AW47" i="53"/>
  <c r="AX47" i="53"/>
  <c r="AY47" i="53"/>
  <c r="AT46" i="53"/>
  <c r="AV46" i="53"/>
  <c r="AW46" i="53"/>
  <c r="AX46" i="53"/>
  <c r="AY46" i="53"/>
  <c r="AT45" i="53"/>
  <c r="AV45" i="53"/>
  <c r="AW45" i="53"/>
  <c r="AX45" i="53"/>
  <c r="AY45" i="53"/>
  <c r="AT44" i="53"/>
  <c r="AV44" i="53"/>
  <c r="AW44" i="53"/>
  <c r="AX44" i="53"/>
  <c r="AY44" i="53"/>
  <c r="AT43" i="53"/>
  <c r="AV43" i="53"/>
  <c r="AW43" i="53"/>
  <c r="AX43" i="53"/>
  <c r="AY43" i="53"/>
  <c r="AT42" i="53"/>
  <c r="AV42" i="53"/>
  <c r="AW42" i="53"/>
  <c r="AX42" i="53"/>
  <c r="AY42" i="53"/>
  <c r="AT41" i="53"/>
  <c r="AV41" i="53"/>
  <c r="AW41" i="53"/>
  <c r="AX41" i="53"/>
  <c r="AY41" i="53"/>
  <c r="AT40" i="53"/>
  <c r="AV40" i="53"/>
  <c r="AW40" i="53"/>
  <c r="AX40" i="53"/>
  <c r="AY40" i="53"/>
  <c r="AT39" i="53"/>
  <c r="AV39" i="53"/>
  <c r="AW39" i="53"/>
  <c r="AX39" i="53"/>
  <c r="AY39" i="53"/>
  <c r="AT38" i="53"/>
  <c r="AV38" i="53"/>
  <c r="AW38" i="53"/>
  <c r="AX38" i="53"/>
  <c r="AY38" i="53"/>
  <c r="AT37" i="53"/>
  <c r="AV37" i="53"/>
  <c r="AW37" i="53"/>
  <c r="AX37" i="53"/>
  <c r="AY37" i="53"/>
  <c r="O37" i="53"/>
  <c r="H37" i="53"/>
  <c r="AT36" i="53"/>
  <c r="AV36" i="53"/>
  <c r="AW36" i="53"/>
  <c r="AX36" i="53"/>
  <c r="AY36" i="53"/>
  <c r="AT35" i="53"/>
  <c r="AV35" i="53"/>
  <c r="AW35" i="53"/>
  <c r="AX35" i="53"/>
  <c r="AY35" i="53"/>
  <c r="AT33" i="53"/>
  <c r="AV33" i="53"/>
  <c r="AW33" i="53"/>
  <c r="AX33" i="53"/>
  <c r="AY33" i="53"/>
  <c r="AT30" i="53"/>
  <c r="AV30" i="53"/>
  <c r="AW30" i="53"/>
  <c r="AX30" i="53"/>
  <c r="AY30" i="53"/>
  <c r="AT29" i="53"/>
  <c r="AV29" i="53"/>
  <c r="AW29" i="53"/>
  <c r="AX29" i="53"/>
  <c r="AY29" i="53"/>
  <c r="AT28" i="53"/>
  <c r="AV28" i="53"/>
  <c r="AW28" i="53"/>
  <c r="AX28" i="53"/>
  <c r="AY28" i="53"/>
  <c r="AT27" i="53"/>
  <c r="AV27" i="53"/>
  <c r="AW27" i="53"/>
  <c r="AX27" i="53"/>
  <c r="AY27" i="53"/>
  <c r="AT26" i="53"/>
  <c r="AV26" i="53"/>
  <c r="AW26" i="53"/>
  <c r="AX26" i="53"/>
  <c r="AY26" i="53"/>
  <c r="AT25" i="53"/>
  <c r="AV25" i="53"/>
  <c r="AW25" i="53"/>
  <c r="AX25" i="53"/>
  <c r="AY25" i="53"/>
  <c r="BB5" i="53"/>
  <c r="S37" i="53"/>
  <c r="R37" i="53"/>
  <c r="T11" i="53"/>
  <c r="W18" i="53"/>
  <c r="V19" i="53"/>
  <c r="V18" i="53"/>
  <c r="T18" i="53"/>
  <c r="S18" i="53"/>
  <c r="V17" i="53"/>
  <c r="V16" i="53"/>
  <c r="V11" i="53"/>
  <c r="I33" i="53"/>
  <c r="S23" i="53"/>
  <c r="U11" i="53"/>
  <c r="S26" i="53"/>
  <c r="S31" i="53"/>
  <c r="W31" i="53"/>
  <c r="S25" i="53"/>
  <c r="S30" i="53"/>
  <c r="W30" i="53"/>
  <c r="S24" i="53"/>
  <c r="S29" i="53"/>
  <c r="W29" i="53"/>
  <c r="S27" i="53"/>
  <c r="W27" i="53"/>
  <c r="W26" i="53"/>
  <c r="W25" i="53"/>
  <c r="W24" i="53"/>
  <c r="D37" i="62"/>
  <c r="R5" i="62"/>
  <c r="S5" i="62"/>
  <c r="G37" i="62"/>
  <c r="T5" i="62"/>
  <c r="U37" i="62"/>
  <c r="AB6" i="62"/>
  <c r="AB13" i="62"/>
  <c r="V5" i="62"/>
  <c r="S9" i="62"/>
  <c r="T9" i="62"/>
  <c r="I21" i="62"/>
  <c r="AB7" i="62"/>
  <c r="AB14" i="62"/>
  <c r="S10" i="62"/>
  <c r="T10" i="62"/>
  <c r="I22" i="62"/>
  <c r="W37" i="62"/>
  <c r="V37" i="62"/>
  <c r="R6" i="62"/>
  <c r="S6" i="62"/>
  <c r="T6" i="62"/>
  <c r="S12" i="62"/>
  <c r="T12" i="62"/>
  <c r="I23" i="62"/>
  <c r="Q37" i="62"/>
  <c r="AT4" i="62"/>
  <c r="AU4" i="62"/>
  <c r="AT5" i="62"/>
  <c r="AV5" i="62"/>
  <c r="AS5" i="62"/>
  <c r="AS6" i="62"/>
  <c r="AX5" i="62"/>
  <c r="J37" i="62"/>
  <c r="AY5" i="62"/>
  <c r="AZ5" i="62"/>
  <c r="AW5" i="62"/>
  <c r="AT6" i="62"/>
  <c r="AV6" i="62"/>
  <c r="AS7" i="62"/>
  <c r="AX6" i="62"/>
  <c r="AY6" i="62"/>
  <c r="AZ6" i="62"/>
  <c r="AW6" i="62"/>
  <c r="AT7" i="62"/>
  <c r="AV7" i="62"/>
  <c r="AS8" i="62"/>
  <c r="AX7" i="62"/>
  <c r="AY7" i="62"/>
  <c r="AZ7" i="62"/>
  <c r="AW7" i="62"/>
  <c r="AT8" i="62"/>
  <c r="AV8" i="62"/>
  <c r="AS9" i="62"/>
  <c r="AX8" i="62"/>
  <c r="AY8" i="62"/>
  <c r="AZ8" i="62"/>
  <c r="AW8" i="62"/>
  <c r="AT9" i="62"/>
  <c r="AV9" i="62"/>
  <c r="AS10" i="62"/>
  <c r="AX9" i="62"/>
  <c r="AY9" i="62"/>
  <c r="AZ9" i="62"/>
  <c r="AW9" i="62"/>
  <c r="AT10" i="62"/>
  <c r="AV10" i="62"/>
  <c r="AS11" i="62"/>
  <c r="AX10" i="62"/>
  <c r="AY10" i="62"/>
  <c r="AZ10" i="62"/>
  <c r="AW10" i="62"/>
  <c r="AT11" i="62"/>
  <c r="AV11" i="62"/>
  <c r="AS12" i="62"/>
  <c r="AX11" i="62"/>
  <c r="AY11" i="62"/>
  <c r="AZ11" i="62"/>
  <c r="AW11" i="62"/>
  <c r="AT12" i="62"/>
  <c r="AV12" i="62"/>
  <c r="AS13" i="62"/>
  <c r="AX12" i="62"/>
  <c r="AY12" i="62"/>
  <c r="AZ12" i="62"/>
  <c r="AW12" i="62"/>
  <c r="AT13" i="62"/>
  <c r="AV13" i="62"/>
  <c r="AS14" i="62"/>
  <c r="AX13" i="62"/>
  <c r="AY13" i="62"/>
  <c r="AZ13" i="62"/>
  <c r="AW13" i="62"/>
  <c r="AT14" i="62"/>
  <c r="AV14" i="62"/>
  <c r="AS15" i="62"/>
  <c r="AX14" i="62"/>
  <c r="AY14" i="62"/>
  <c r="AZ14" i="62"/>
  <c r="AW14" i="62"/>
  <c r="AT15" i="62"/>
  <c r="AV15" i="62"/>
  <c r="AS16" i="62"/>
  <c r="AX15" i="62"/>
  <c r="AY15" i="62"/>
  <c r="AZ15" i="62"/>
  <c r="AW15" i="62"/>
  <c r="AT16" i="62"/>
  <c r="AV16" i="62"/>
  <c r="AS17" i="62"/>
  <c r="AX16" i="62"/>
  <c r="AY16" i="62"/>
  <c r="AZ16" i="62"/>
  <c r="AW16" i="62"/>
  <c r="AT17" i="62"/>
  <c r="AV17" i="62"/>
  <c r="AS18" i="62"/>
  <c r="AX17" i="62"/>
  <c r="AY17" i="62"/>
  <c r="AZ17" i="62"/>
  <c r="AW17" i="62"/>
  <c r="AT18" i="62"/>
  <c r="AV18" i="62"/>
  <c r="AS19" i="62"/>
  <c r="AX18" i="62"/>
  <c r="AY18" i="62"/>
  <c r="AZ18" i="62"/>
  <c r="AW18" i="62"/>
  <c r="AT19" i="62"/>
  <c r="AV19" i="62"/>
  <c r="AS20" i="62"/>
  <c r="AX19" i="62"/>
  <c r="AY19" i="62"/>
  <c r="AZ19" i="62"/>
  <c r="AW19" i="62"/>
  <c r="AT20" i="62"/>
  <c r="AV20" i="62"/>
  <c r="AS21" i="62"/>
  <c r="AX20" i="62"/>
  <c r="AY20" i="62"/>
  <c r="AZ20" i="62"/>
  <c r="AW20" i="62"/>
  <c r="AT21" i="62"/>
  <c r="AV21" i="62"/>
  <c r="AS22" i="62"/>
  <c r="AX21" i="62"/>
  <c r="AY21" i="62"/>
  <c r="AZ21" i="62"/>
  <c r="AW21" i="62"/>
  <c r="AT22" i="62"/>
  <c r="AV22" i="62"/>
  <c r="AS23" i="62"/>
  <c r="AX22" i="62"/>
  <c r="AY22" i="62"/>
  <c r="AZ22" i="62"/>
  <c r="AW22" i="62"/>
  <c r="AT23" i="62"/>
  <c r="AV23" i="62"/>
  <c r="AS24" i="62"/>
  <c r="AX23" i="62"/>
  <c r="AY23" i="62"/>
  <c r="AZ23" i="62"/>
  <c r="AW23" i="62"/>
  <c r="AT24" i="62"/>
  <c r="AV24" i="62"/>
  <c r="AS25" i="62"/>
  <c r="AX24" i="62"/>
  <c r="AY24" i="62"/>
  <c r="AZ24" i="62"/>
  <c r="AW24" i="62"/>
  <c r="AT25" i="62"/>
  <c r="AV25" i="62"/>
  <c r="AS26" i="62"/>
  <c r="AX25" i="62"/>
  <c r="AY25" i="62"/>
  <c r="AZ25" i="62"/>
  <c r="AW25" i="62"/>
  <c r="AT26" i="62"/>
  <c r="AV26" i="62"/>
  <c r="AS27" i="62"/>
  <c r="AX26" i="62"/>
  <c r="AY26" i="62"/>
  <c r="AZ26" i="62"/>
  <c r="AW26" i="62"/>
  <c r="AT27" i="62"/>
  <c r="AV27" i="62"/>
  <c r="AS28" i="62"/>
  <c r="AX27" i="62"/>
  <c r="AY27" i="62"/>
  <c r="AZ27" i="62"/>
  <c r="AW27" i="62"/>
  <c r="AT28" i="62"/>
  <c r="AV28" i="62"/>
  <c r="AS29" i="62"/>
  <c r="AX28" i="62"/>
  <c r="AY28" i="62"/>
  <c r="AZ28" i="62"/>
  <c r="AW28" i="62"/>
  <c r="AT29" i="62"/>
  <c r="AV29" i="62"/>
  <c r="AS30" i="62"/>
  <c r="AX29" i="62"/>
  <c r="AY29" i="62"/>
  <c r="AZ29" i="62"/>
  <c r="AW29" i="62"/>
  <c r="AT30" i="62"/>
  <c r="AV30" i="62"/>
  <c r="AS33" i="62"/>
  <c r="AX30" i="62"/>
  <c r="AY30" i="62"/>
  <c r="AZ30" i="62"/>
  <c r="AW30" i="62"/>
  <c r="AT33" i="62"/>
  <c r="AV33" i="62"/>
  <c r="AS35" i="62"/>
  <c r="AX33" i="62"/>
  <c r="AY33" i="62"/>
  <c r="AZ33" i="62"/>
  <c r="AW33" i="62"/>
  <c r="AT35" i="62"/>
  <c r="AV35" i="62"/>
  <c r="AS36" i="62"/>
  <c r="AX35" i="62"/>
  <c r="AY35" i="62"/>
  <c r="AZ35" i="62"/>
  <c r="AW35" i="62"/>
  <c r="AT36" i="62"/>
  <c r="AV36" i="62"/>
  <c r="AS37" i="62"/>
  <c r="AX36" i="62"/>
  <c r="AY36" i="62"/>
  <c r="AZ36" i="62"/>
  <c r="AW36" i="62"/>
  <c r="AT37" i="62"/>
  <c r="AV37" i="62"/>
  <c r="AS38" i="62"/>
  <c r="AX37" i="62"/>
  <c r="AY37" i="62"/>
  <c r="AZ37" i="62"/>
  <c r="AW37" i="62"/>
  <c r="AT38" i="62"/>
  <c r="AV38" i="62"/>
  <c r="AS39" i="62"/>
  <c r="AX38" i="62"/>
  <c r="AY38" i="62"/>
  <c r="AZ38" i="62"/>
  <c r="AW38" i="62"/>
  <c r="AT39" i="62"/>
  <c r="AV39" i="62"/>
  <c r="AS40" i="62"/>
  <c r="AX39" i="62"/>
  <c r="AY39" i="62"/>
  <c r="AZ39" i="62"/>
  <c r="AW39" i="62"/>
  <c r="AT40" i="62"/>
  <c r="AV40" i="62"/>
  <c r="AS41" i="62"/>
  <c r="AX40" i="62"/>
  <c r="AY40" i="62"/>
  <c r="AZ40" i="62"/>
  <c r="AW40" i="62"/>
  <c r="AT41" i="62"/>
  <c r="AV41" i="62"/>
  <c r="AS42" i="62"/>
  <c r="AX41" i="62"/>
  <c r="AY41" i="62"/>
  <c r="AZ41" i="62"/>
  <c r="AW41" i="62"/>
  <c r="AT42" i="62"/>
  <c r="AV42" i="62"/>
  <c r="AS43" i="62"/>
  <c r="AX42" i="62"/>
  <c r="AY42" i="62"/>
  <c r="AZ42" i="62"/>
  <c r="AW42" i="62"/>
  <c r="AT43" i="62"/>
  <c r="AV43" i="62"/>
  <c r="AS44" i="62"/>
  <c r="AX43" i="62"/>
  <c r="AY43" i="62"/>
  <c r="AZ43" i="62"/>
  <c r="AW43" i="62"/>
  <c r="AT44" i="62"/>
  <c r="AV44" i="62"/>
  <c r="AS45" i="62"/>
  <c r="AX44" i="62"/>
  <c r="AY44" i="62"/>
  <c r="AZ44" i="62"/>
  <c r="AW44" i="62"/>
  <c r="AT45" i="62"/>
  <c r="AV45" i="62"/>
  <c r="AS46" i="62"/>
  <c r="AX45" i="62"/>
  <c r="AY45" i="62"/>
  <c r="AZ45" i="62"/>
  <c r="AW45" i="62"/>
  <c r="AT46" i="62"/>
  <c r="AV46" i="62"/>
  <c r="AS47" i="62"/>
  <c r="AX46" i="62"/>
  <c r="AY46" i="62"/>
  <c r="AZ46" i="62"/>
  <c r="AW46" i="62"/>
  <c r="AT47" i="62"/>
  <c r="AV47" i="62"/>
  <c r="AW47" i="62"/>
  <c r="AS48" i="62"/>
  <c r="AX47" i="62"/>
  <c r="AY47" i="62"/>
  <c r="AZ47" i="62"/>
  <c r="AZ48" i="62"/>
  <c r="AS49" i="62"/>
  <c r="AZ49" i="62"/>
  <c r="AS50" i="62"/>
  <c r="AZ50" i="62"/>
  <c r="AS51" i="62"/>
  <c r="AZ51" i="62"/>
  <c r="AS52" i="62"/>
  <c r="AZ52" i="62"/>
  <c r="AS53" i="62"/>
  <c r="AZ53" i="62"/>
  <c r="AS54" i="62"/>
  <c r="AZ54" i="62"/>
  <c r="AS55" i="62"/>
  <c r="AZ55" i="62"/>
  <c r="AS56" i="62"/>
  <c r="AZ56" i="62"/>
  <c r="AS57" i="62"/>
  <c r="AZ57" i="62"/>
  <c r="AS58" i="62"/>
  <c r="AZ58" i="62"/>
  <c r="AS59" i="62"/>
  <c r="AZ59" i="62"/>
  <c r="AS60" i="62"/>
  <c r="AZ60" i="62"/>
  <c r="AS61" i="62"/>
  <c r="AZ61" i="62"/>
  <c r="AS62" i="62"/>
  <c r="AZ62" i="62"/>
  <c r="AS63" i="62"/>
  <c r="AZ63" i="62"/>
  <c r="AS64" i="62"/>
  <c r="AZ64" i="62"/>
  <c r="AS65" i="62"/>
  <c r="AZ65" i="62"/>
  <c r="AS66" i="62"/>
  <c r="AZ66" i="62"/>
  <c r="AS67" i="62"/>
  <c r="AZ67" i="62"/>
  <c r="AS68" i="62"/>
  <c r="AZ68" i="62"/>
  <c r="AS69" i="62"/>
  <c r="AZ69" i="62"/>
  <c r="AS70" i="62"/>
  <c r="AZ70" i="62"/>
  <c r="AS71" i="62"/>
  <c r="AZ71" i="62"/>
  <c r="AS72" i="62"/>
  <c r="AZ72" i="62"/>
  <c r="AS73" i="62"/>
  <c r="AZ73" i="62"/>
  <c r="AS74" i="62"/>
  <c r="AZ74" i="62"/>
  <c r="AS75" i="62"/>
  <c r="AZ75" i="62"/>
  <c r="AS76" i="62"/>
  <c r="AZ76" i="62"/>
  <c r="AS77" i="62"/>
  <c r="AZ77" i="62"/>
  <c r="AS78" i="62"/>
  <c r="AZ78" i="62"/>
  <c r="AS79" i="62"/>
  <c r="AZ79" i="62"/>
  <c r="AS80" i="62"/>
  <c r="AZ80" i="62"/>
  <c r="AS81" i="62"/>
  <c r="AZ81" i="62"/>
  <c r="AS82" i="62"/>
  <c r="AZ82" i="62"/>
  <c r="AS83" i="62"/>
  <c r="AZ83" i="62"/>
  <c r="AS84" i="62"/>
  <c r="AZ84" i="62"/>
  <c r="AS85" i="62"/>
  <c r="AZ85" i="62"/>
  <c r="AS86" i="62"/>
  <c r="AZ86" i="62"/>
  <c r="AS87" i="62"/>
  <c r="AZ87" i="62"/>
  <c r="AS88" i="62"/>
  <c r="AZ88" i="62"/>
  <c r="AS89" i="62"/>
  <c r="AZ89" i="62"/>
  <c r="AS90" i="62"/>
  <c r="AZ90" i="62"/>
  <c r="AS91" i="62"/>
  <c r="AZ91" i="62"/>
  <c r="AS92" i="62"/>
  <c r="AZ92" i="62"/>
  <c r="AS93" i="62"/>
  <c r="AZ93" i="62"/>
  <c r="AS94" i="62"/>
  <c r="AZ94" i="62"/>
  <c r="AS95" i="62"/>
  <c r="AZ95" i="62"/>
  <c r="AS96" i="62"/>
  <c r="AZ96" i="62"/>
  <c r="AS97" i="62"/>
  <c r="AZ97" i="62"/>
  <c r="AS98" i="62"/>
  <c r="AZ98" i="62"/>
  <c r="AS99" i="62"/>
  <c r="AZ99" i="62"/>
  <c r="AS100" i="62"/>
  <c r="AZ100" i="62"/>
  <c r="AS101" i="62"/>
  <c r="AZ101" i="62"/>
  <c r="AS102" i="62"/>
  <c r="AZ102" i="62"/>
  <c r="AS103" i="62"/>
  <c r="AZ103" i="62"/>
  <c r="AS104" i="62"/>
  <c r="AZ104" i="62"/>
  <c r="AS105" i="62"/>
  <c r="AZ105" i="62"/>
  <c r="AS106" i="62"/>
  <c r="AZ106" i="62"/>
  <c r="AS107" i="62"/>
  <c r="AZ107" i="62"/>
  <c r="AS108" i="62"/>
  <c r="AZ108" i="62"/>
  <c r="AS109" i="62"/>
  <c r="AZ109" i="62"/>
  <c r="AS110" i="62"/>
  <c r="AZ110" i="62"/>
  <c r="AS111" i="62"/>
  <c r="AZ111" i="62"/>
  <c r="AS112" i="62"/>
  <c r="AZ112" i="62"/>
  <c r="AS113" i="62"/>
  <c r="AZ113" i="62"/>
  <c r="AS114" i="62"/>
  <c r="AZ114" i="62"/>
  <c r="BA5" i="62"/>
  <c r="R14" i="62"/>
  <c r="AX4" i="62"/>
  <c r="AY4" i="62"/>
  <c r="AZ4" i="62"/>
  <c r="S14" i="62"/>
  <c r="T14" i="62"/>
  <c r="V14" i="62"/>
  <c r="I24" i="62"/>
  <c r="I25" i="62"/>
  <c r="V9" i="62"/>
  <c r="I31" i="62"/>
  <c r="V10" i="62"/>
  <c r="I32" i="62"/>
  <c r="AB8" i="62"/>
  <c r="AB15" i="62"/>
  <c r="W16" i="62"/>
  <c r="W17" i="62"/>
  <c r="G29" i="62"/>
  <c r="I34" i="62"/>
  <c r="AT114" i="62"/>
  <c r="AV114" i="62"/>
  <c r="AW114" i="62"/>
  <c r="AX114" i="62"/>
  <c r="AY114" i="62"/>
  <c r="AT113" i="62"/>
  <c r="AV113" i="62"/>
  <c r="AW113" i="62"/>
  <c r="AX113" i="62"/>
  <c r="AY113" i="62"/>
  <c r="AT112" i="62"/>
  <c r="AV112" i="62"/>
  <c r="AW112" i="62"/>
  <c r="AX112" i="62"/>
  <c r="AY112" i="62"/>
  <c r="AT111" i="62"/>
  <c r="AV111" i="62"/>
  <c r="AW111" i="62"/>
  <c r="AX111" i="62"/>
  <c r="AY111" i="62"/>
  <c r="AT110" i="62"/>
  <c r="AV110" i="62"/>
  <c r="AW110" i="62"/>
  <c r="AX110" i="62"/>
  <c r="AY110" i="62"/>
  <c r="AT109" i="62"/>
  <c r="AV109" i="62"/>
  <c r="AW109" i="62"/>
  <c r="AX109" i="62"/>
  <c r="AY109" i="62"/>
  <c r="AT108" i="62"/>
  <c r="AV108" i="62"/>
  <c r="AW108" i="62"/>
  <c r="AX108" i="62"/>
  <c r="AY108" i="62"/>
  <c r="AT107" i="62"/>
  <c r="AV107" i="62"/>
  <c r="AW107" i="62"/>
  <c r="AX107" i="62"/>
  <c r="AY107" i="62"/>
  <c r="AT106" i="62"/>
  <c r="AV106" i="62"/>
  <c r="AW106" i="62"/>
  <c r="AX106" i="62"/>
  <c r="AY106" i="62"/>
  <c r="AT105" i="62"/>
  <c r="AV105" i="62"/>
  <c r="AW105" i="62"/>
  <c r="AX105" i="62"/>
  <c r="AY105" i="62"/>
  <c r="AT104" i="62"/>
  <c r="AV104" i="62"/>
  <c r="AW104" i="62"/>
  <c r="AX104" i="62"/>
  <c r="AY104" i="62"/>
  <c r="AT103" i="62"/>
  <c r="AV103" i="62"/>
  <c r="AW103" i="62"/>
  <c r="AX103" i="62"/>
  <c r="AY103" i="62"/>
  <c r="AT102" i="62"/>
  <c r="AV102" i="62"/>
  <c r="AW102" i="62"/>
  <c r="AX102" i="62"/>
  <c r="AY102" i="62"/>
  <c r="AT101" i="62"/>
  <c r="AV101" i="62"/>
  <c r="AW101" i="62"/>
  <c r="AX101" i="62"/>
  <c r="AY101" i="62"/>
  <c r="AT100" i="62"/>
  <c r="AV100" i="62"/>
  <c r="AW100" i="62"/>
  <c r="AX100" i="62"/>
  <c r="AY100" i="62"/>
  <c r="AT99" i="62"/>
  <c r="AV99" i="62"/>
  <c r="AW99" i="62"/>
  <c r="AX99" i="62"/>
  <c r="AY99" i="62"/>
  <c r="AT98" i="62"/>
  <c r="AV98" i="62"/>
  <c r="AW98" i="62"/>
  <c r="AX98" i="62"/>
  <c r="AY98" i="62"/>
  <c r="AT97" i="62"/>
  <c r="AV97" i="62"/>
  <c r="AW97" i="62"/>
  <c r="AX97" i="62"/>
  <c r="AY97" i="62"/>
  <c r="AT96" i="62"/>
  <c r="AV96" i="62"/>
  <c r="AW96" i="62"/>
  <c r="AX96" i="62"/>
  <c r="AY96" i="62"/>
  <c r="AT95" i="62"/>
  <c r="AV95" i="62"/>
  <c r="AW95" i="62"/>
  <c r="AX95" i="62"/>
  <c r="AY95" i="62"/>
  <c r="AT94" i="62"/>
  <c r="AV94" i="62"/>
  <c r="AW94" i="62"/>
  <c r="AX94" i="62"/>
  <c r="AY94" i="62"/>
  <c r="AT93" i="62"/>
  <c r="AV93" i="62"/>
  <c r="AW93" i="62"/>
  <c r="AX93" i="62"/>
  <c r="AY93" i="62"/>
  <c r="AT92" i="62"/>
  <c r="AV92" i="62"/>
  <c r="AW92" i="62"/>
  <c r="AX92" i="62"/>
  <c r="AY92" i="62"/>
  <c r="AT91" i="62"/>
  <c r="AV91" i="62"/>
  <c r="AW91" i="62"/>
  <c r="AX91" i="62"/>
  <c r="AY91" i="62"/>
  <c r="AT90" i="62"/>
  <c r="AV90" i="62"/>
  <c r="AW90" i="62"/>
  <c r="AX90" i="62"/>
  <c r="AY90" i="62"/>
  <c r="AT89" i="62"/>
  <c r="AV89" i="62"/>
  <c r="AW89" i="62"/>
  <c r="AX89" i="62"/>
  <c r="AY89" i="62"/>
  <c r="AT88" i="62"/>
  <c r="AV88" i="62"/>
  <c r="AW88" i="62"/>
  <c r="AX88" i="62"/>
  <c r="AY88" i="62"/>
  <c r="AT87" i="62"/>
  <c r="AV87" i="62"/>
  <c r="AW87" i="62"/>
  <c r="AX87" i="62"/>
  <c r="AY87" i="62"/>
  <c r="AT86" i="62"/>
  <c r="AV86" i="62"/>
  <c r="AW86" i="62"/>
  <c r="AX86" i="62"/>
  <c r="AY86" i="62"/>
  <c r="AT85" i="62"/>
  <c r="AV85" i="62"/>
  <c r="AW85" i="62"/>
  <c r="AX85" i="62"/>
  <c r="AY85" i="62"/>
  <c r="AT84" i="62"/>
  <c r="AV84" i="62"/>
  <c r="AW84" i="62"/>
  <c r="AX84" i="62"/>
  <c r="AY84" i="62"/>
  <c r="AT83" i="62"/>
  <c r="AV83" i="62"/>
  <c r="AW83" i="62"/>
  <c r="AX83" i="62"/>
  <c r="AY83" i="62"/>
  <c r="AT82" i="62"/>
  <c r="AV82" i="62"/>
  <c r="AW82" i="62"/>
  <c r="AX82" i="62"/>
  <c r="AY82" i="62"/>
  <c r="AT81" i="62"/>
  <c r="AV81" i="62"/>
  <c r="AW81" i="62"/>
  <c r="AX81" i="62"/>
  <c r="AY81" i="62"/>
  <c r="AT80" i="62"/>
  <c r="AV80" i="62"/>
  <c r="AW80" i="62"/>
  <c r="AX80" i="62"/>
  <c r="AY80" i="62"/>
  <c r="AT79" i="62"/>
  <c r="AV79" i="62"/>
  <c r="AW79" i="62"/>
  <c r="AX79" i="62"/>
  <c r="AY79" i="62"/>
  <c r="AT78" i="62"/>
  <c r="AV78" i="62"/>
  <c r="AW78" i="62"/>
  <c r="AX78" i="62"/>
  <c r="AY78" i="62"/>
  <c r="AT77" i="62"/>
  <c r="AV77" i="62"/>
  <c r="AW77" i="62"/>
  <c r="AX77" i="62"/>
  <c r="AY77" i="62"/>
  <c r="AT76" i="62"/>
  <c r="AV76" i="62"/>
  <c r="AW76" i="62"/>
  <c r="AX76" i="62"/>
  <c r="AY76" i="62"/>
  <c r="AT75" i="62"/>
  <c r="AV75" i="62"/>
  <c r="AW75" i="62"/>
  <c r="AX75" i="62"/>
  <c r="AY75" i="62"/>
  <c r="AT74" i="62"/>
  <c r="AV74" i="62"/>
  <c r="AW74" i="62"/>
  <c r="AX74" i="62"/>
  <c r="AY74" i="62"/>
  <c r="AT73" i="62"/>
  <c r="AV73" i="62"/>
  <c r="AW73" i="62"/>
  <c r="AX73" i="62"/>
  <c r="AY73" i="62"/>
  <c r="AT72" i="62"/>
  <c r="AV72" i="62"/>
  <c r="AW72" i="62"/>
  <c r="AX72" i="62"/>
  <c r="AY72" i="62"/>
  <c r="AT71" i="62"/>
  <c r="AV71" i="62"/>
  <c r="AW71" i="62"/>
  <c r="AX71" i="62"/>
  <c r="AY71" i="62"/>
  <c r="AT70" i="62"/>
  <c r="AV70" i="62"/>
  <c r="AW70" i="62"/>
  <c r="AX70" i="62"/>
  <c r="AY70" i="62"/>
  <c r="AT69" i="62"/>
  <c r="AV69" i="62"/>
  <c r="AW69" i="62"/>
  <c r="AX69" i="62"/>
  <c r="AY69" i="62"/>
  <c r="AT68" i="62"/>
  <c r="AV68" i="62"/>
  <c r="AW68" i="62"/>
  <c r="AX68" i="62"/>
  <c r="AY68" i="62"/>
  <c r="AT67" i="62"/>
  <c r="AV67" i="62"/>
  <c r="AW67" i="62"/>
  <c r="AX67" i="62"/>
  <c r="AY67" i="62"/>
  <c r="AT66" i="62"/>
  <c r="AV66" i="62"/>
  <c r="AW66" i="62"/>
  <c r="AX66" i="62"/>
  <c r="AY66" i="62"/>
  <c r="AT65" i="62"/>
  <c r="AV65" i="62"/>
  <c r="AW65" i="62"/>
  <c r="AX65" i="62"/>
  <c r="AY65" i="62"/>
  <c r="AT64" i="62"/>
  <c r="AV64" i="62"/>
  <c r="AW64" i="62"/>
  <c r="AX64" i="62"/>
  <c r="AY64" i="62"/>
  <c r="AT63" i="62"/>
  <c r="AV63" i="62"/>
  <c r="AW63" i="62"/>
  <c r="AX63" i="62"/>
  <c r="AY63" i="62"/>
  <c r="AT62" i="62"/>
  <c r="AV62" i="62"/>
  <c r="AW62" i="62"/>
  <c r="AX62" i="62"/>
  <c r="AY62" i="62"/>
  <c r="AT61" i="62"/>
  <c r="AV61" i="62"/>
  <c r="AW61" i="62"/>
  <c r="AX61" i="62"/>
  <c r="AY61" i="62"/>
  <c r="AT60" i="62"/>
  <c r="AV60" i="62"/>
  <c r="AW60" i="62"/>
  <c r="AX60" i="62"/>
  <c r="AY60" i="62"/>
  <c r="AT59" i="62"/>
  <c r="AV59" i="62"/>
  <c r="AW59" i="62"/>
  <c r="AX59" i="62"/>
  <c r="AY59" i="62"/>
  <c r="AT58" i="62"/>
  <c r="AV58" i="62"/>
  <c r="AW58" i="62"/>
  <c r="AX58" i="62"/>
  <c r="AY58" i="62"/>
  <c r="AT57" i="62"/>
  <c r="AV57" i="62"/>
  <c r="AW57" i="62"/>
  <c r="AX57" i="62"/>
  <c r="AY57" i="62"/>
  <c r="AT56" i="62"/>
  <c r="AV56" i="62"/>
  <c r="AW56" i="62"/>
  <c r="AX56" i="62"/>
  <c r="AY56" i="62"/>
  <c r="AT55" i="62"/>
  <c r="AV55" i="62"/>
  <c r="AW55" i="62"/>
  <c r="AX55" i="62"/>
  <c r="AY55" i="62"/>
  <c r="AT54" i="62"/>
  <c r="AV54" i="62"/>
  <c r="AW54" i="62"/>
  <c r="AX54" i="62"/>
  <c r="AY54" i="62"/>
  <c r="AT53" i="62"/>
  <c r="AV53" i="62"/>
  <c r="AW53" i="62"/>
  <c r="AX53" i="62"/>
  <c r="AY53" i="62"/>
  <c r="AT52" i="62"/>
  <c r="AV52" i="62"/>
  <c r="AW52" i="62"/>
  <c r="AX52" i="62"/>
  <c r="AY52" i="62"/>
  <c r="AT51" i="62"/>
  <c r="AV51" i="62"/>
  <c r="AW51" i="62"/>
  <c r="AX51" i="62"/>
  <c r="AY51" i="62"/>
  <c r="AT50" i="62"/>
  <c r="AV50" i="62"/>
  <c r="AW50" i="62"/>
  <c r="AX50" i="62"/>
  <c r="AY50" i="62"/>
  <c r="AT49" i="62"/>
  <c r="AV49" i="62"/>
  <c r="AW49" i="62"/>
  <c r="AX49" i="62"/>
  <c r="AY49" i="62"/>
  <c r="AT48" i="62"/>
  <c r="AV48" i="62"/>
  <c r="AW48" i="62"/>
  <c r="AX48" i="62"/>
  <c r="AY48" i="62"/>
  <c r="O37" i="62"/>
  <c r="H37" i="62"/>
  <c r="W33" i="62"/>
  <c r="G28" i="62"/>
  <c r="G27" i="62"/>
  <c r="W19" i="62"/>
  <c r="T19" i="62"/>
  <c r="S19" i="62"/>
  <c r="T17" i="62"/>
  <c r="S17" i="62"/>
  <c r="T16" i="62"/>
  <c r="S16" i="62"/>
  <c r="AE6" i="62"/>
  <c r="AE8" i="62"/>
  <c r="BB5" i="62"/>
  <c r="S37" i="62"/>
  <c r="R37" i="62"/>
  <c r="T11" i="62"/>
  <c r="V11" i="62"/>
  <c r="I33" i="62"/>
  <c r="W18" i="62"/>
  <c r="S23" i="62"/>
  <c r="S26" i="62"/>
  <c r="S31" i="62"/>
  <c r="W31" i="62"/>
  <c r="S25" i="62"/>
  <c r="S30" i="62"/>
  <c r="W30" i="62"/>
  <c r="S24" i="62"/>
  <c r="S29" i="62"/>
  <c r="W29" i="62"/>
  <c r="S27" i="62"/>
  <c r="W27" i="62"/>
  <c r="W26" i="62"/>
  <c r="W25" i="62"/>
  <c r="W24" i="62"/>
  <c r="V19" i="62"/>
  <c r="V18" i="62"/>
  <c r="T18" i="62"/>
  <c r="S18" i="62"/>
  <c r="V17" i="62"/>
  <c r="V16" i="62"/>
  <c r="U11" i="62"/>
  <c r="F14" i="2"/>
  <c r="F17" i="2"/>
  <c r="G17" i="2"/>
  <c r="E17" i="2"/>
  <c r="F33" i="2"/>
  <c r="E32" i="2"/>
  <c r="E5" i="2"/>
  <c r="G5" i="2"/>
  <c r="D5" i="2"/>
  <c r="F5" i="2"/>
  <c r="E14" i="2"/>
  <c r="E7" i="2"/>
  <c r="D87" i="2"/>
  <c r="D93" i="2"/>
  <c r="E87" i="2"/>
  <c r="E93" i="2"/>
  <c r="H54" i="2"/>
  <c r="D44" i="2"/>
  <c r="F44" i="2"/>
  <c r="D82" i="2"/>
  <c r="E44" i="2"/>
  <c r="F43" i="2"/>
  <c r="D72" i="2"/>
  <c r="D83" i="2"/>
  <c r="E89" i="2"/>
  <c r="D89" i="2"/>
  <c r="D73" i="2"/>
  <c r="R37" i="75"/>
  <c r="S37" i="75"/>
  <c r="D37" i="75"/>
  <c r="R5" i="75"/>
  <c r="S5" i="75"/>
  <c r="G37" i="75"/>
  <c r="T5" i="75"/>
  <c r="U37" i="75"/>
  <c r="AB8" i="75"/>
  <c r="AB15" i="75"/>
  <c r="T11" i="75"/>
  <c r="V11" i="75"/>
  <c r="I33" i="75"/>
  <c r="AB6" i="75"/>
  <c r="AB13" i="75"/>
  <c r="V5" i="75"/>
  <c r="S9" i="75"/>
  <c r="T9" i="75"/>
  <c r="I21" i="75"/>
  <c r="AB7" i="75"/>
  <c r="AB14" i="75"/>
  <c r="S10" i="75"/>
  <c r="T10" i="75"/>
  <c r="I22" i="75"/>
  <c r="W37" i="75"/>
  <c r="V37" i="75"/>
  <c r="R6" i="75"/>
  <c r="S6" i="75"/>
  <c r="T6" i="75"/>
  <c r="S12" i="75"/>
  <c r="T12" i="75"/>
  <c r="I23" i="75"/>
  <c r="Q37" i="75"/>
  <c r="AT4" i="75"/>
  <c r="AU4" i="75"/>
  <c r="AT5" i="75"/>
  <c r="AV5" i="75"/>
  <c r="AS5" i="75"/>
  <c r="AS6" i="75"/>
  <c r="AX5" i="75"/>
  <c r="J37" i="75"/>
  <c r="AY5" i="75"/>
  <c r="AZ5" i="75"/>
  <c r="AW5" i="75"/>
  <c r="AT6" i="75"/>
  <c r="AV6" i="75"/>
  <c r="AS7" i="75"/>
  <c r="AX6" i="75"/>
  <c r="AY6" i="75"/>
  <c r="AZ6" i="75"/>
  <c r="AW6" i="75"/>
  <c r="AT7" i="75"/>
  <c r="AV7" i="75"/>
  <c r="AS8" i="75"/>
  <c r="AX7" i="75"/>
  <c r="AY7" i="75"/>
  <c r="AZ7" i="75"/>
  <c r="AW7" i="75"/>
  <c r="AT8" i="75"/>
  <c r="AV8" i="75"/>
  <c r="AS9" i="75"/>
  <c r="AX8" i="75"/>
  <c r="AY8" i="75"/>
  <c r="AZ8" i="75"/>
  <c r="AW8" i="75"/>
  <c r="AT9" i="75"/>
  <c r="AV9" i="75"/>
  <c r="AS10" i="75"/>
  <c r="AX9" i="75"/>
  <c r="AY9" i="75"/>
  <c r="AZ9" i="75"/>
  <c r="AW9" i="75"/>
  <c r="AT10" i="75"/>
  <c r="AV10" i="75"/>
  <c r="AS11" i="75"/>
  <c r="AX10" i="75"/>
  <c r="AY10" i="75"/>
  <c r="AZ10" i="75"/>
  <c r="AW10" i="75"/>
  <c r="AT11" i="75"/>
  <c r="AV11" i="75"/>
  <c r="AS12" i="75"/>
  <c r="AX11" i="75"/>
  <c r="AY11" i="75"/>
  <c r="AZ11" i="75"/>
  <c r="AW11" i="75"/>
  <c r="AT12" i="75"/>
  <c r="AV12" i="75"/>
  <c r="AS13" i="75"/>
  <c r="AX12" i="75"/>
  <c r="AY12" i="75"/>
  <c r="AZ12" i="75"/>
  <c r="AW12" i="75"/>
  <c r="AT13" i="75"/>
  <c r="AV13" i="75"/>
  <c r="AS14" i="75"/>
  <c r="AX13" i="75"/>
  <c r="AY13" i="75"/>
  <c r="AZ13" i="75"/>
  <c r="AW13" i="75"/>
  <c r="AT14" i="75"/>
  <c r="AV14" i="75"/>
  <c r="AS15" i="75"/>
  <c r="AX14" i="75"/>
  <c r="AY14" i="75"/>
  <c r="AZ14" i="75"/>
  <c r="AW14" i="75"/>
  <c r="AT15" i="75"/>
  <c r="AV15" i="75"/>
  <c r="AS16" i="75"/>
  <c r="AX15" i="75"/>
  <c r="AY15" i="75"/>
  <c r="AZ15" i="75"/>
  <c r="AW15" i="75"/>
  <c r="AT16" i="75"/>
  <c r="AV16" i="75"/>
  <c r="AS17" i="75"/>
  <c r="AX16" i="75"/>
  <c r="AY16" i="75"/>
  <c r="AZ16" i="75"/>
  <c r="AW16" i="75"/>
  <c r="AT17" i="75"/>
  <c r="AV17" i="75"/>
  <c r="AS18" i="75"/>
  <c r="AX17" i="75"/>
  <c r="AY17" i="75"/>
  <c r="AZ17" i="75"/>
  <c r="AW17" i="75"/>
  <c r="AT18" i="75"/>
  <c r="AV18" i="75"/>
  <c r="AS19" i="75"/>
  <c r="AX18" i="75"/>
  <c r="AY18" i="75"/>
  <c r="AZ18" i="75"/>
  <c r="AW18" i="75"/>
  <c r="AT19" i="75"/>
  <c r="AV19" i="75"/>
  <c r="AS20" i="75"/>
  <c r="AX19" i="75"/>
  <c r="AY19" i="75"/>
  <c r="AZ19" i="75"/>
  <c r="AW19" i="75"/>
  <c r="AT20" i="75"/>
  <c r="AV20" i="75"/>
  <c r="AS21" i="75"/>
  <c r="AX20" i="75"/>
  <c r="AY20" i="75"/>
  <c r="AZ20" i="75"/>
  <c r="AW20" i="75"/>
  <c r="AT21" i="75"/>
  <c r="AV21" i="75"/>
  <c r="AS22" i="75"/>
  <c r="AX21" i="75"/>
  <c r="AY21" i="75"/>
  <c r="AZ21" i="75"/>
  <c r="AW21" i="75"/>
  <c r="AT22" i="75"/>
  <c r="AV22" i="75"/>
  <c r="AS23" i="75"/>
  <c r="AX22" i="75"/>
  <c r="AY22" i="75"/>
  <c r="AZ22" i="75"/>
  <c r="AW22" i="75"/>
  <c r="AT23" i="75"/>
  <c r="AV23" i="75"/>
  <c r="AS24" i="75"/>
  <c r="AX23" i="75"/>
  <c r="AY23" i="75"/>
  <c r="AZ23" i="75"/>
  <c r="AW23" i="75"/>
  <c r="AT24" i="75"/>
  <c r="AV24" i="75"/>
  <c r="AW24" i="75"/>
  <c r="AS25" i="75"/>
  <c r="AX24" i="75"/>
  <c r="AY24" i="75"/>
  <c r="AZ24" i="75"/>
  <c r="AZ25" i="75"/>
  <c r="AS26" i="75"/>
  <c r="AZ26" i="75"/>
  <c r="AS27" i="75"/>
  <c r="AZ27" i="75"/>
  <c r="AS28" i="75"/>
  <c r="AZ28" i="75"/>
  <c r="AS29" i="75"/>
  <c r="AZ29" i="75"/>
  <c r="AS30" i="75"/>
  <c r="AZ30" i="75"/>
  <c r="AS33" i="75"/>
  <c r="AZ33" i="75"/>
  <c r="AS35" i="75"/>
  <c r="AZ35" i="75"/>
  <c r="AS36" i="75"/>
  <c r="AZ36" i="75"/>
  <c r="AS37" i="75"/>
  <c r="AZ37" i="75"/>
  <c r="AS38" i="75"/>
  <c r="AZ38" i="75"/>
  <c r="AS39" i="75"/>
  <c r="AZ39" i="75"/>
  <c r="AS40" i="75"/>
  <c r="AZ40" i="75"/>
  <c r="AS41" i="75"/>
  <c r="AZ41" i="75"/>
  <c r="AS42" i="75"/>
  <c r="AZ42" i="75"/>
  <c r="AS43" i="75"/>
  <c r="AZ43" i="75"/>
  <c r="AS44" i="75"/>
  <c r="AZ44" i="75"/>
  <c r="AS45" i="75"/>
  <c r="AZ45" i="75"/>
  <c r="AS46" i="75"/>
  <c r="AZ46" i="75"/>
  <c r="AS47" i="75"/>
  <c r="AZ47" i="75"/>
  <c r="AS48" i="75"/>
  <c r="AZ48" i="75"/>
  <c r="AS49" i="75"/>
  <c r="AZ49" i="75"/>
  <c r="AS50" i="75"/>
  <c r="AZ50" i="75"/>
  <c r="AS51" i="75"/>
  <c r="AZ51" i="75"/>
  <c r="AS52" i="75"/>
  <c r="AZ52" i="75"/>
  <c r="AS53" i="75"/>
  <c r="AZ53" i="75"/>
  <c r="AS54" i="75"/>
  <c r="AZ54" i="75"/>
  <c r="AS55" i="75"/>
  <c r="AZ55" i="75"/>
  <c r="AS56" i="75"/>
  <c r="AZ56" i="75"/>
  <c r="AS57" i="75"/>
  <c r="AZ57" i="75"/>
  <c r="AS58" i="75"/>
  <c r="AZ58" i="75"/>
  <c r="AS59" i="75"/>
  <c r="AZ59" i="75"/>
  <c r="AS60" i="75"/>
  <c r="AZ60" i="75"/>
  <c r="AS61" i="75"/>
  <c r="AZ61" i="75"/>
  <c r="AS62" i="75"/>
  <c r="AZ62" i="75"/>
  <c r="AS63" i="75"/>
  <c r="AZ63" i="75"/>
  <c r="AS64" i="75"/>
  <c r="AZ64" i="75"/>
  <c r="AS65" i="75"/>
  <c r="AZ65" i="75"/>
  <c r="AS66" i="75"/>
  <c r="AZ66" i="75"/>
  <c r="AS67" i="75"/>
  <c r="AZ67" i="75"/>
  <c r="AS68" i="75"/>
  <c r="AZ68" i="75"/>
  <c r="AS69" i="75"/>
  <c r="AZ69" i="75"/>
  <c r="AS70" i="75"/>
  <c r="AZ70" i="75"/>
  <c r="AS71" i="75"/>
  <c r="AZ71" i="75"/>
  <c r="AS72" i="75"/>
  <c r="AZ72" i="75"/>
  <c r="AS73" i="75"/>
  <c r="AZ73" i="75"/>
  <c r="AS74" i="75"/>
  <c r="AZ74" i="75"/>
  <c r="AS75" i="75"/>
  <c r="AZ75" i="75"/>
  <c r="AS76" i="75"/>
  <c r="AZ76" i="75"/>
  <c r="AS77" i="75"/>
  <c r="AZ77" i="75"/>
  <c r="AS78" i="75"/>
  <c r="AZ78" i="75"/>
  <c r="AS79" i="75"/>
  <c r="AZ79" i="75"/>
  <c r="AS80" i="75"/>
  <c r="AZ80" i="75"/>
  <c r="AS81" i="75"/>
  <c r="AZ81" i="75"/>
  <c r="AS82" i="75"/>
  <c r="AZ82" i="75"/>
  <c r="AS83" i="75"/>
  <c r="AZ83" i="75"/>
  <c r="AS84" i="75"/>
  <c r="AZ84" i="75"/>
  <c r="AS85" i="75"/>
  <c r="AZ85" i="75"/>
  <c r="AS86" i="75"/>
  <c r="AZ86" i="75"/>
  <c r="AS87" i="75"/>
  <c r="AZ87" i="75"/>
  <c r="AS88" i="75"/>
  <c r="AZ88" i="75"/>
  <c r="AS89" i="75"/>
  <c r="AZ89" i="75"/>
  <c r="AS90" i="75"/>
  <c r="AZ90" i="75"/>
  <c r="AS91" i="75"/>
  <c r="AZ91" i="75"/>
  <c r="AS92" i="75"/>
  <c r="AZ92" i="75"/>
  <c r="AS93" i="75"/>
  <c r="AZ93" i="75"/>
  <c r="AS94" i="75"/>
  <c r="AZ94" i="75"/>
  <c r="AS95" i="75"/>
  <c r="AZ95" i="75"/>
  <c r="AS96" i="75"/>
  <c r="AZ96" i="75"/>
  <c r="AS97" i="75"/>
  <c r="AZ97" i="75"/>
  <c r="AS98" i="75"/>
  <c r="AZ98" i="75"/>
  <c r="AS99" i="75"/>
  <c r="AZ99" i="75"/>
  <c r="AS100" i="75"/>
  <c r="AZ100" i="75"/>
  <c r="AS101" i="75"/>
  <c r="AZ101" i="75"/>
  <c r="AS102" i="75"/>
  <c r="AZ102" i="75"/>
  <c r="AS103" i="75"/>
  <c r="AZ103" i="75"/>
  <c r="AS104" i="75"/>
  <c r="AZ104" i="75"/>
  <c r="AS105" i="75"/>
  <c r="AZ105" i="75"/>
  <c r="AS106" i="75"/>
  <c r="AZ106" i="75"/>
  <c r="AS107" i="75"/>
  <c r="AZ107" i="75"/>
  <c r="AS108" i="75"/>
  <c r="AZ108" i="75"/>
  <c r="AS109" i="75"/>
  <c r="AZ109" i="75"/>
  <c r="AS110" i="75"/>
  <c r="AZ110" i="75"/>
  <c r="AS111" i="75"/>
  <c r="AZ111" i="75"/>
  <c r="AS112" i="75"/>
  <c r="AZ112" i="75"/>
  <c r="AS113" i="75"/>
  <c r="AZ113" i="75"/>
  <c r="AS114" i="75"/>
  <c r="AZ114" i="75"/>
  <c r="BA5" i="75"/>
  <c r="R14" i="75"/>
  <c r="AX4" i="75"/>
  <c r="AY4" i="75"/>
  <c r="AZ4" i="75"/>
  <c r="S14" i="75"/>
  <c r="T14" i="75"/>
  <c r="V14" i="75"/>
  <c r="I24" i="75"/>
  <c r="I25" i="75"/>
  <c r="V9" i="75"/>
  <c r="I31" i="75"/>
  <c r="V10" i="75"/>
  <c r="I32" i="75"/>
  <c r="W16" i="75"/>
  <c r="W17" i="75"/>
  <c r="W18" i="75"/>
  <c r="G29" i="75"/>
  <c r="S24" i="75"/>
  <c r="S23" i="75"/>
  <c r="S29" i="75"/>
  <c r="S25" i="75"/>
  <c r="S30" i="75"/>
  <c r="S26" i="75"/>
  <c r="S31" i="75"/>
  <c r="I34" i="75"/>
  <c r="AT114" i="75"/>
  <c r="AV114" i="75"/>
  <c r="AW114" i="75"/>
  <c r="AX114" i="75"/>
  <c r="AY114" i="75"/>
  <c r="AT113" i="75"/>
  <c r="AV113" i="75"/>
  <c r="AW113" i="75"/>
  <c r="AX113" i="75"/>
  <c r="AY113" i="75"/>
  <c r="AT112" i="75"/>
  <c r="AV112" i="75"/>
  <c r="AW112" i="75"/>
  <c r="AX112" i="75"/>
  <c r="AY112" i="75"/>
  <c r="AT111" i="75"/>
  <c r="AV111" i="75"/>
  <c r="AW111" i="75"/>
  <c r="AX111" i="75"/>
  <c r="AY111" i="75"/>
  <c r="AT110" i="75"/>
  <c r="AV110" i="75"/>
  <c r="AW110" i="75"/>
  <c r="AX110" i="75"/>
  <c r="AY110" i="75"/>
  <c r="AT109" i="75"/>
  <c r="AV109" i="75"/>
  <c r="AW109" i="75"/>
  <c r="AX109" i="75"/>
  <c r="AY109" i="75"/>
  <c r="AT108" i="75"/>
  <c r="AV108" i="75"/>
  <c r="AW108" i="75"/>
  <c r="AX108" i="75"/>
  <c r="AY108" i="75"/>
  <c r="AT107" i="75"/>
  <c r="AV107" i="75"/>
  <c r="AW107" i="75"/>
  <c r="AX107" i="75"/>
  <c r="AY107" i="75"/>
  <c r="AT106" i="75"/>
  <c r="AV106" i="75"/>
  <c r="AW106" i="75"/>
  <c r="AX106" i="75"/>
  <c r="AY106" i="75"/>
  <c r="AT105" i="75"/>
  <c r="AV105" i="75"/>
  <c r="AW105" i="75"/>
  <c r="AX105" i="75"/>
  <c r="AY105" i="75"/>
  <c r="AT104" i="75"/>
  <c r="AV104" i="75"/>
  <c r="AW104" i="75"/>
  <c r="AX104" i="75"/>
  <c r="AY104" i="75"/>
  <c r="AT103" i="75"/>
  <c r="AV103" i="75"/>
  <c r="AW103" i="75"/>
  <c r="AX103" i="75"/>
  <c r="AY103" i="75"/>
  <c r="AT102" i="75"/>
  <c r="AV102" i="75"/>
  <c r="AW102" i="75"/>
  <c r="AX102" i="75"/>
  <c r="AY102" i="75"/>
  <c r="AT101" i="75"/>
  <c r="AV101" i="75"/>
  <c r="AW101" i="75"/>
  <c r="AX101" i="75"/>
  <c r="AY101" i="75"/>
  <c r="AT100" i="75"/>
  <c r="AV100" i="75"/>
  <c r="AW100" i="75"/>
  <c r="AX100" i="75"/>
  <c r="AY100" i="75"/>
  <c r="AT99" i="75"/>
  <c r="AV99" i="75"/>
  <c r="AW99" i="75"/>
  <c r="AX99" i="75"/>
  <c r="AY99" i="75"/>
  <c r="AT98" i="75"/>
  <c r="AV98" i="75"/>
  <c r="AW98" i="75"/>
  <c r="AX98" i="75"/>
  <c r="AY98" i="75"/>
  <c r="AT97" i="75"/>
  <c r="AV97" i="75"/>
  <c r="AW97" i="75"/>
  <c r="AX97" i="75"/>
  <c r="AY97" i="75"/>
  <c r="AT96" i="75"/>
  <c r="AV96" i="75"/>
  <c r="AW96" i="75"/>
  <c r="AX96" i="75"/>
  <c r="AY96" i="75"/>
  <c r="AT95" i="75"/>
  <c r="AV95" i="75"/>
  <c r="AW95" i="75"/>
  <c r="AX95" i="75"/>
  <c r="AY95" i="75"/>
  <c r="AT94" i="75"/>
  <c r="AV94" i="75"/>
  <c r="AW94" i="75"/>
  <c r="AX94" i="75"/>
  <c r="AY94" i="75"/>
  <c r="AT93" i="75"/>
  <c r="AV93" i="75"/>
  <c r="AW93" i="75"/>
  <c r="AX93" i="75"/>
  <c r="AY93" i="75"/>
  <c r="AT92" i="75"/>
  <c r="AV92" i="75"/>
  <c r="AW92" i="75"/>
  <c r="AX92" i="75"/>
  <c r="AY92" i="75"/>
  <c r="AT91" i="75"/>
  <c r="AV91" i="75"/>
  <c r="AW91" i="75"/>
  <c r="AX91" i="75"/>
  <c r="AY91" i="75"/>
  <c r="AT90" i="75"/>
  <c r="AV90" i="75"/>
  <c r="AW90" i="75"/>
  <c r="AX90" i="75"/>
  <c r="AY90" i="75"/>
  <c r="AT89" i="75"/>
  <c r="AV89" i="75"/>
  <c r="AW89" i="75"/>
  <c r="AX89" i="75"/>
  <c r="AY89" i="75"/>
  <c r="AT88" i="75"/>
  <c r="AV88" i="75"/>
  <c r="AW88" i="75"/>
  <c r="AX88" i="75"/>
  <c r="AY88" i="75"/>
  <c r="AT87" i="75"/>
  <c r="AV87" i="75"/>
  <c r="AW87" i="75"/>
  <c r="AX87" i="75"/>
  <c r="AY87" i="75"/>
  <c r="AT86" i="75"/>
  <c r="AV86" i="75"/>
  <c r="AW86" i="75"/>
  <c r="AX86" i="75"/>
  <c r="AY86" i="75"/>
  <c r="AT85" i="75"/>
  <c r="AV85" i="75"/>
  <c r="AW85" i="75"/>
  <c r="AX85" i="75"/>
  <c r="AY85" i="75"/>
  <c r="AT84" i="75"/>
  <c r="AV84" i="75"/>
  <c r="AW84" i="75"/>
  <c r="AX84" i="75"/>
  <c r="AY84" i="75"/>
  <c r="AT83" i="75"/>
  <c r="AV83" i="75"/>
  <c r="AW83" i="75"/>
  <c r="AX83" i="75"/>
  <c r="AY83" i="75"/>
  <c r="AT82" i="75"/>
  <c r="AV82" i="75"/>
  <c r="AW82" i="75"/>
  <c r="AX82" i="75"/>
  <c r="AY82" i="75"/>
  <c r="AT81" i="75"/>
  <c r="AV81" i="75"/>
  <c r="AW81" i="75"/>
  <c r="AX81" i="75"/>
  <c r="AY81" i="75"/>
  <c r="AT80" i="75"/>
  <c r="AV80" i="75"/>
  <c r="AW80" i="75"/>
  <c r="AX80" i="75"/>
  <c r="AY80" i="75"/>
  <c r="AT79" i="75"/>
  <c r="AV79" i="75"/>
  <c r="AW79" i="75"/>
  <c r="AX79" i="75"/>
  <c r="AY79" i="75"/>
  <c r="AT78" i="75"/>
  <c r="AV78" i="75"/>
  <c r="AW78" i="75"/>
  <c r="AX78" i="75"/>
  <c r="AY78" i="75"/>
  <c r="AT77" i="75"/>
  <c r="AV77" i="75"/>
  <c r="AW77" i="75"/>
  <c r="AX77" i="75"/>
  <c r="AY77" i="75"/>
  <c r="AT76" i="75"/>
  <c r="AV76" i="75"/>
  <c r="AW76" i="75"/>
  <c r="AX76" i="75"/>
  <c r="AY76" i="75"/>
  <c r="AT75" i="75"/>
  <c r="AV75" i="75"/>
  <c r="AW75" i="75"/>
  <c r="AX75" i="75"/>
  <c r="AY75" i="75"/>
  <c r="AT74" i="75"/>
  <c r="AV74" i="75"/>
  <c r="AW74" i="75"/>
  <c r="AX74" i="75"/>
  <c r="AY74" i="75"/>
  <c r="AT73" i="75"/>
  <c r="AV73" i="75"/>
  <c r="AW73" i="75"/>
  <c r="AX73" i="75"/>
  <c r="AY73" i="75"/>
  <c r="AT72" i="75"/>
  <c r="AV72" i="75"/>
  <c r="AW72" i="75"/>
  <c r="AX72" i="75"/>
  <c r="AY72" i="75"/>
  <c r="AT71" i="75"/>
  <c r="AV71" i="75"/>
  <c r="AW71" i="75"/>
  <c r="AX71" i="75"/>
  <c r="AY71" i="75"/>
  <c r="AT70" i="75"/>
  <c r="AV70" i="75"/>
  <c r="AW70" i="75"/>
  <c r="AX70" i="75"/>
  <c r="AY70" i="75"/>
  <c r="AT69" i="75"/>
  <c r="AV69" i="75"/>
  <c r="AW69" i="75"/>
  <c r="AX69" i="75"/>
  <c r="AY69" i="75"/>
  <c r="AT68" i="75"/>
  <c r="AV68" i="75"/>
  <c r="AW68" i="75"/>
  <c r="AX68" i="75"/>
  <c r="AY68" i="75"/>
  <c r="AT67" i="75"/>
  <c r="AV67" i="75"/>
  <c r="AW67" i="75"/>
  <c r="AX67" i="75"/>
  <c r="AY67" i="75"/>
  <c r="AT66" i="75"/>
  <c r="AV66" i="75"/>
  <c r="AW66" i="75"/>
  <c r="AX66" i="75"/>
  <c r="AY66" i="75"/>
  <c r="AT65" i="75"/>
  <c r="AV65" i="75"/>
  <c r="AW65" i="75"/>
  <c r="AX65" i="75"/>
  <c r="AY65" i="75"/>
  <c r="AT64" i="75"/>
  <c r="AV64" i="75"/>
  <c r="AW64" i="75"/>
  <c r="AX64" i="75"/>
  <c r="AY64" i="75"/>
  <c r="AT63" i="75"/>
  <c r="AV63" i="75"/>
  <c r="AW63" i="75"/>
  <c r="AX63" i="75"/>
  <c r="AY63" i="75"/>
  <c r="AT62" i="75"/>
  <c r="AV62" i="75"/>
  <c r="AW62" i="75"/>
  <c r="AX62" i="75"/>
  <c r="AY62" i="75"/>
  <c r="AT61" i="75"/>
  <c r="AV61" i="75"/>
  <c r="AW61" i="75"/>
  <c r="AX61" i="75"/>
  <c r="AY61" i="75"/>
  <c r="AT60" i="75"/>
  <c r="AV60" i="75"/>
  <c r="AW60" i="75"/>
  <c r="AX60" i="75"/>
  <c r="AY60" i="75"/>
  <c r="AT59" i="75"/>
  <c r="AV59" i="75"/>
  <c r="AW59" i="75"/>
  <c r="AX59" i="75"/>
  <c r="AY59" i="75"/>
  <c r="AT58" i="75"/>
  <c r="AV58" i="75"/>
  <c r="AW58" i="75"/>
  <c r="AX58" i="75"/>
  <c r="AY58" i="75"/>
  <c r="AT57" i="75"/>
  <c r="AV57" i="75"/>
  <c r="AW57" i="75"/>
  <c r="AX57" i="75"/>
  <c r="AY57" i="75"/>
  <c r="AT56" i="75"/>
  <c r="AV56" i="75"/>
  <c r="AW56" i="75"/>
  <c r="AX56" i="75"/>
  <c r="AY56" i="75"/>
  <c r="AT55" i="75"/>
  <c r="AV55" i="75"/>
  <c r="AW55" i="75"/>
  <c r="AX55" i="75"/>
  <c r="AY55" i="75"/>
  <c r="AT54" i="75"/>
  <c r="AV54" i="75"/>
  <c r="AW54" i="75"/>
  <c r="AX54" i="75"/>
  <c r="AY54" i="75"/>
  <c r="AT53" i="75"/>
  <c r="AV53" i="75"/>
  <c r="AW53" i="75"/>
  <c r="AX53" i="75"/>
  <c r="AY53" i="75"/>
  <c r="AT52" i="75"/>
  <c r="AV52" i="75"/>
  <c r="AW52" i="75"/>
  <c r="AX52" i="75"/>
  <c r="AY52" i="75"/>
  <c r="AT51" i="75"/>
  <c r="AV51" i="75"/>
  <c r="AW51" i="75"/>
  <c r="AX51" i="75"/>
  <c r="AY51" i="75"/>
  <c r="AT50" i="75"/>
  <c r="AV50" i="75"/>
  <c r="AW50" i="75"/>
  <c r="AX50" i="75"/>
  <c r="AY50" i="75"/>
  <c r="AT49" i="75"/>
  <c r="AV49" i="75"/>
  <c r="AW49" i="75"/>
  <c r="AX49" i="75"/>
  <c r="AY49" i="75"/>
  <c r="AT48" i="75"/>
  <c r="AV48" i="75"/>
  <c r="AW48" i="75"/>
  <c r="AX48" i="75"/>
  <c r="AY48" i="75"/>
  <c r="AT47" i="75"/>
  <c r="AV47" i="75"/>
  <c r="AW47" i="75"/>
  <c r="AX47" i="75"/>
  <c r="AY47" i="75"/>
  <c r="AT46" i="75"/>
  <c r="AV46" i="75"/>
  <c r="AW46" i="75"/>
  <c r="AX46" i="75"/>
  <c r="AY46" i="75"/>
  <c r="AT45" i="75"/>
  <c r="AV45" i="75"/>
  <c r="AW45" i="75"/>
  <c r="AX45" i="75"/>
  <c r="AY45" i="75"/>
  <c r="AT44" i="75"/>
  <c r="AV44" i="75"/>
  <c r="AW44" i="75"/>
  <c r="AX44" i="75"/>
  <c r="AY44" i="75"/>
  <c r="AT43" i="75"/>
  <c r="AV43" i="75"/>
  <c r="AW43" i="75"/>
  <c r="AX43" i="75"/>
  <c r="AY43" i="75"/>
  <c r="AT42" i="75"/>
  <c r="AV42" i="75"/>
  <c r="AW42" i="75"/>
  <c r="AX42" i="75"/>
  <c r="AY42" i="75"/>
  <c r="AT41" i="75"/>
  <c r="AV41" i="75"/>
  <c r="AW41" i="75"/>
  <c r="AX41" i="75"/>
  <c r="AY41" i="75"/>
  <c r="AT40" i="75"/>
  <c r="AV40" i="75"/>
  <c r="AW40" i="75"/>
  <c r="AX40" i="75"/>
  <c r="AY40" i="75"/>
  <c r="AT39" i="75"/>
  <c r="AV39" i="75"/>
  <c r="AW39" i="75"/>
  <c r="AX39" i="75"/>
  <c r="AY39" i="75"/>
  <c r="AT38" i="75"/>
  <c r="AV38" i="75"/>
  <c r="AW38" i="75"/>
  <c r="AX38" i="75"/>
  <c r="AY38" i="75"/>
  <c r="AT37" i="75"/>
  <c r="AV37" i="75"/>
  <c r="AW37" i="75"/>
  <c r="AX37" i="75"/>
  <c r="AY37" i="75"/>
  <c r="O37" i="75"/>
  <c r="H37" i="75"/>
  <c r="AT36" i="75"/>
  <c r="AV36" i="75"/>
  <c r="AW36" i="75"/>
  <c r="AX36" i="75"/>
  <c r="AY36" i="75"/>
  <c r="AT35" i="75"/>
  <c r="AV35" i="75"/>
  <c r="AW35" i="75"/>
  <c r="AX35" i="75"/>
  <c r="AY35" i="75"/>
  <c r="AT33" i="75"/>
  <c r="AV33" i="75"/>
  <c r="AW33" i="75"/>
  <c r="AX33" i="75"/>
  <c r="AY33" i="75"/>
  <c r="W33" i="75"/>
  <c r="W31" i="75"/>
  <c r="AT30" i="75"/>
  <c r="AV30" i="75"/>
  <c r="AW30" i="75"/>
  <c r="AX30" i="75"/>
  <c r="AY30" i="75"/>
  <c r="W30" i="75"/>
  <c r="AT29" i="75"/>
  <c r="AV29" i="75"/>
  <c r="AW29" i="75"/>
  <c r="AX29" i="75"/>
  <c r="AY29" i="75"/>
  <c r="W29" i="75"/>
  <c r="AT28" i="75"/>
  <c r="AV28" i="75"/>
  <c r="AW28" i="75"/>
  <c r="AX28" i="75"/>
  <c r="AY28" i="75"/>
  <c r="G28" i="75"/>
  <c r="AT27" i="75"/>
  <c r="AV27" i="75"/>
  <c r="AW27" i="75"/>
  <c r="AX27" i="75"/>
  <c r="AY27" i="75"/>
  <c r="S27" i="75"/>
  <c r="W27" i="75"/>
  <c r="G27" i="75"/>
  <c r="AT26" i="75"/>
  <c r="AV26" i="75"/>
  <c r="AW26" i="75"/>
  <c r="AX26" i="75"/>
  <c r="AY26" i="75"/>
  <c r="W26" i="75"/>
  <c r="AT25" i="75"/>
  <c r="AV25" i="75"/>
  <c r="AW25" i="75"/>
  <c r="AX25" i="75"/>
  <c r="AY25" i="75"/>
  <c r="W25" i="75"/>
  <c r="W24" i="75"/>
  <c r="W19" i="75"/>
  <c r="V19" i="75"/>
  <c r="T19" i="75"/>
  <c r="S19" i="75"/>
  <c r="V18" i="75"/>
  <c r="T18" i="75"/>
  <c r="S18" i="75"/>
  <c r="V17" i="75"/>
  <c r="T17" i="75"/>
  <c r="S17" i="75"/>
  <c r="V16" i="75"/>
  <c r="T16" i="75"/>
  <c r="S16" i="75"/>
  <c r="U11" i="75"/>
  <c r="AE6" i="75"/>
  <c r="AE8" i="75"/>
  <c r="BB5" i="75"/>
  <c r="R37" i="58"/>
  <c r="S37" i="58"/>
  <c r="D37" i="58"/>
  <c r="R5" i="58"/>
  <c r="S5" i="58"/>
  <c r="G37" i="58"/>
  <c r="T5" i="58"/>
  <c r="U37" i="58"/>
  <c r="AB8" i="58"/>
  <c r="AB15" i="58"/>
  <c r="T11" i="58"/>
  <c r="V11" i="58"/>
  <c r="I33" i="58"/>
  <c r="AB6" i="58"/>
  <c r="AB13" i="58"/>
  <c r="V5" i="58"/>
  <c r="S9" i="58"/>
  <c r="T9" i="58"/>
  <c r="I21" i="58"/>
  <c r="AB7" i="58"/>
  <c r="AB14" i="58"/>
  <c r="S10" i="58"/>
  <c r="T10" i="58"/>
  <c r="I22" i="58"/>
  <c r="W37" i="58"/>
  <c r="V37" i="58"/>
  <c r="R6" i="58"/>
  <c r="S6" i="58"/>
  <c r="T6" i="58"/>
  <c r="S12" i="58"/>
  <c r="T12" i="58"/>
  <c r="I23" i="58"/>
  <c r="Q37" i="58"/>
  <c r="AT4" i="58"/>
  <c r="AU4" i="58"/>
  <c r="AT5" i="58"/>
  <c r="AV5" i="58"/>
  <c r="AS5" i="58"/>
  <c r="AS6" i="58"/>
  <c r="AX5" i="58"/>
  <c r="J37" i="58"/>
  <c r="AY5" i="58"/>
  <c r="AZ5" i="58"/>
  <c r="AW5" i="58"/>
  <c r="AT6" i="58"/>
  <c r="AV6" i="58"/>
  <c r="AS7" i="58"/>
  <c r="AX6" i="58"/>
  <c r="AY6" i="58"/>
  <c r="AZ6" i="58"/>
  <c r="AW6" i="58"/>
  <c r="AT7" i="58"/>
  <c r="AV7" i="58"/>
  <c r="AS8" i="58"/>
  <c r="AX7" i="58"/>
  <c r="AY7" i="58"/>
  <c r="AZ7" i="58"/>
  <c r="AW7" i="58"/>
  <c r="AT8" i="58"/>
  <c r="AV8" i="58"/>
  <c r="AS9" i="58"/>
  <c r="AX8" i="58"/>
  <c r="AY8" i="58"/>
  <c r="AZ8" i="58"/>
  <c r="AW8" i="58"/>
  <c r="AT9" i="58"/>
  <c r="AV9" i="58"/>
  <c r="AS10" i="58"/>
  <c r="AX9" i="58"/>
  <c r="AY9" i="58"/>
  <c r="AZ9" i="58"/>
  <c r="AW9" i="58"/>
  <c r="AT10" i="58"/>
  <c r="AV10" i="58"/>
  <c r="AS11" i="58"/>
  <c r="AX10" i="58"/>
  <c r="AY10" i="58"/>
  <c r="AZ10" i="58"/>
  <c r="AW10" i="58"/>
  <c r="AT11" i="58"/>
  <c r="AV11" i="58"/>
  <c r="AS12" i="58"/>
  <c r="AX11" i="58"/>
  <c r="AY11" i="58"/>
  <c r="AZ11" i="58"/>
  <c r="AW11" i="58"/>
  <c r="AT12" i="58"/>
  <c r="AV12" i="58"/>
  <c r="AS13" i="58"/>
  <c r="AX12" i="58"/>
  <c r="AY12" i="58"/>
  <c r="AZ12" i="58"/>
  <c r="AW12" i="58"/>
  <c r="AT13" i="58"/>
  <c r="AV13" i="58"/>
  <c r="AS14" i="58"/>
  <c r="AX13" i="58"/>
  <c r="AY13" i="58"/>
  <c r="AZ13" i="58"/>
  <c r="AW13" i="58"/>
  <c r="AT14" i="58"/>
  <c r="AV14" i="58"/>
  <c r="AS15" i="58"/>
  <c r="AX14" i="58"/>
  <c r="AY14" i="58"/>
  <c r="AZ14" i="58"/>
  <c r="AW14" i="58"/>
  <c r="AT15" i="58"/>
  <c r="AV15" i="58"/>
  <c r="AS16" i="58"/>
  <c r="AX15" i="58"/>
  <c r="AY15" i="58"/>
  <c r="AZ15" i="58"/>
  <c r="AW15" i="58"/>
  <c r="AT16" i="58"/>
  <c r="AV16" i="58"/>
  <c r="AS17" i="58"/>
  <c r="AX16" i="58"/>
  <c r="AY16" i="58"/>
  <c r="AZ16" i="58"/>
  <c r="AW16" i="58"/>
  <c r="AT17" i="58"/>
  <c r="AV17" i="58"/>
  <c r="AS18" i="58"/>
  <c r="AX17" i="58"/>
  <c r="AY17" i="58"/>
  <c r="AZ17" i="58"/>
  <c r="AW17" i="58"/>
  <c r="AT18" i="58"/>
  <c r="AV18" i="58"/>
  <c r="AS19" i="58"/>
  <c r="AX18" i="58"/>
  <c r="AY18" i="58"/>
  <c r="AZ18" i="58"/>
  <c r="AW18" i="58"/>
  <c r="AT19" i="58"/>
  <c r="AV19" i="58"/>
  <c r="AS20" i="58"/>
  <c r="AX19" i="58"/>
  <c r="AY19" i="58"/>
  <c r="AZ19" i="58"/>
  <c r="AW19" i="58"/>
  <c r="AT20" i="58"/>
  <c r="AV20" i="58"/>
  <c r="AS21" i="58"/>
  <c r="AX20" i="58"/>
  <c r="AY20" i="58"/>
  <c r="AZ20" i="58"/>
  <c r="AW20" i="58"/>
  <c r="AT21" i="58"/>
  <c r="AV21" i="58"/>
  <c r="AS22" i="58"/>
  <c r="AX21" i="58"/>
  <c r="AY21" i="58"/>
  <c r="AZ21" i="58"/>
  <c r="AW21" i="58"/>
  <c r="AT22" i="58"/>
  <c r="AV22" i="58"/>
  <c r="AS23" i="58"/>
  <c r="AX22" i="58"/>
  <c r="AY22" i="58"/>
  <c r="AZ22" i="58"/>
  <c r="AW22" i="58"/>
  <c r="AT23" i="58"/>
  <c r="AV23" i="58"/>
  <c r="AS24" i="58"/>
  <c r="AX23" i="58"/>
  <c r="AY23" i="58"/>
  <c r="AZ23" i="58"/>
  <c r="AW23" i="58"/>
  <c r="AT24" i="58"/>
  <c r="AV24" i="58"/>
  <c r="AW24" i="58"/>
  <c r="AS25" i="58"/>
  <c r="AX24" i="58"/>
  <c r="AY24" i="58"/>
  <c r="AZ24" i="58"/>
  <c r="AZ25" i="58"/>
  <c r="AS26" i="58"/>
  <c r="AZ26" i="58"/>
  <c r="AS27" i="58"/>
  <c r="AZ27" i="58"/>
  <c r="AS28" i="58"/>
  <c r="AZ28" i="58"/>
  <c r="AS29" i="58"/>
  <c r="AZ29" i="58"/>
  <c r="AS30" i="58"/>
  <c r="AZ30" i="58"/>
  <c r="AS33" i="58"/>
  <c r="AZ33" i="58"/>
  <c r="AS35" i="58"/>
  <c r="AZ35" i="58"/>
  <c r="AS36" i="58"/>
  <c r="AZ36" i="58"/>
  <c r="AS37" i="58"/>
  <c r="AZ37" i="58"/>
  <c r="AS38" i="58"/>
  <c r="AZ38" i="58"/>
  <c r="AS39" i="58"/>
  <c r="AZ39" i="58"/>
  <c r="AS40" i="58"/>
  <c r="AZ40" i="58"/>
  <c r="AS41" i="58"/>
  <c r="AZ41" i="58"/>
  <c r="AS42" i="58"/>
  <c r="AZ42" i="58"/>
  <c r="AS43" i="58"/>
  <c r="AZ43" i="58"/>
  <c r="AS44" i="58"/>
  <c r="AZ44" i="58"/>
  <c r="AS45" i="58"/>
  <c r="AZ45" i="58"/>
  <c r="AS46" i="58"/>
  <c r="AZ46" i="58"/>
  <c r="AS47" i="58"/>
  <c r="AZ47" i="58"/>
  <c r="AS48" i="58"/>
  <c r="AZ48" i="58"/>
  <c r="AS49" i="58"/>
  <c r="AZ49" i="58"/>
  <c r="AS50" i="58"/>
  <c r="AZ50" i="58"/>
  <c r="AS51" i="58"/>
  <c r="AZ51" i="58"/>
  <c r="AS52" i="58"/>
  <c r="AZ52" i="58"/>
  <c r="AS53" i="58"/>
  <c r="AZ53" i="58"/>
  <c r="AS54" i="58"/>
  <c r="AZ54" i="58"/>
  <c r="AS55" i="58"/>
  <c r="AZ55" i="58"/>
  <c r="AS56" i="58"/>
  <c r="AZ56" i="58"/>
  <c r="AS57" i="58"/>
  <c r="AZ57" i="58"/>
  <c r="AS58" i="58"/>
  <c r="AZ58" i="58"/>
  <c r="AS59" i="58"/>
  <c r="AZ59" i="58"/>
  <c r="AS60" i="58"/>
  <c r="AZ60" i="58"/>
  <c r="AS61" i="58"/>
  <c r="AZ61" i="58"/>
  <c r="AS62" i="58"/>
  <c r="AZ62" i="58"/>
  <c r="AS63" i="58"/>
  <c r="AZ63" i="58"/>
  <c r="AS64" i="58"/>
  <c r="AZ64" i="58"/>
  <c r="AS65" i="58"/>
  <c r="AZ65" i="58"/>
  <c r="AS66" i="58"/>
  <c r="AZ66" i="58"/>
  <c r="AS67" i="58"/>
  <c r="AZ67" i="58"/>
  <c r="AS68" i="58"/>
  <c r="AZ68" i="58"/>
  <c r="AS69" i="58"/>
  <c r="AZ69" i="58"/>
  <c r="AS70" i="58"/>
  <c r="AZ70" i="58"/>
  <c r="AS71" i="58"/>
  <c r="AZ71" i="58"/>
  <c r="AS72" i="58"/>
  <c r="AZ72" i="58"/>
  <c r="AS73" i="58"/>
  <c r="AZ73" i="58"/>
  <c r="AS74" i="58"/>
  <c r="AZ74" i="58"/>
  <c r="AS75" i="58"/>
  <c r="AZ75" i="58"/>
  <c r="AS76" i="58"/>
  <c r="AZ76" i="58"/>
  <c r="AS77" i="58"/>
  <c r="AZ77" i="58"/>
  <c r="AS78" i="58"/>
  <c r="AZ78" i="58"/>
  <c r="AS79" i="58"/>
  <c r="AZ79" i="58"/>
  <c r="AS80" i="58"/>
  <c r="AZ80" i="58"/>
  <c r="AS81" i="58"/>
  <c r="AZ81" i="58"/>
  <c r="AS82" i="58"/>
  <c r="AZ82" i="58"/>
  <c r="AS83" i="58"/>
  <c r="AZ83" i="58"/>
  <c r="AS84" i="58"/>
  <c r="AZ84" i="58"/>
  <c r="AS85" i="58"/>
  <c r="AZ85" i="58"/>
  <c r="AS86" i="58"/>
  <c r="AZ86" i="58"/>
  <c r="AS87" i="58"/>
  <c r="AZ87" i="58"/>
  <c r="AS88" i="58"/>
  <c r="AZ88" i="58"/>
  <c r="AS89" i="58"/>
  <c r="AZ89" i="58"/>
  <c r="AS90" i="58"/>
  <c r="AZ90" i="58"/>
  <c r="AS91" i="58"/>
  <c r="AZ91" i="58"/>
  <c r="AS92" i="58"/>
  <c r="AZ92" i="58"/>
  <c r="AS93" i="58"/>
  <c r="AZ93" i="58"/>
  <c r="AS94" i="58"/>
  <c r="AZ94" i="58"/>
  <c r="AS95" i="58"/>
  <c r="AZ95" i="58"/>
  <c r="AS96" i="58"/>
  <c r="AZ96" i="58"/>
  <c r="AS97" i="58"/>
  <c r="AZ97" i="58"/>
  <c r="AS98" i="58"/>
  <c r="AZ98" i="58"/>
  <c r="AS99" i="58"/>
  <c r="AZ99" i="58"/>
  <c r="AS100" i="58"/>
  <c r="AZ100" i="58"/>
  <c r="AS101" i="58"/>
  <c r="AZ101" i="58"/>
  <c r="AS102" i="58"/>
  <c r="AZ102" i="58"/>
  <c r="AS103" i="58"/>
  <c r="AZ103" i="58"/>
  <c r="AS104" i="58"/>
  <c r="AZ104" i="58"/>
  <c r="AS105" i="58"/>
  <c r="AZ105" i="58"/>
  <c r="AS106" i="58"/>
  <c r="AZ106" i="58"/>
  <c r="AS107" i="58"/>
  <c r="AZ107" i="58"/>
  <c r="AS108" i="58"/>
  <c r="AZ108" i="58"/>
  <c r="AS109" i="58"/>
  <c r="AZ109" i="58"/>
  <c r="AS110" i="58"/>
  <c r="AZ110" i="58"/>
  <c r="AS111" i="58"/>
  <c r="AZ111" i="58"/>
  <c r="AS112" i="58"/>
  <c r="AZ112" i="58"/>
  <c r="AS113" i="58"/>
  <c r="AZ113" i="58"/>
  <c r="AS114" i="58"/>
  <c r="AZ114" i="58"/>
  <c r="BA5" i="58"/>
  <c r="R14" i="58"/>
  <c r="AX4" i="58"/>
  <c r="AY4" i="58"/>
  <c r="AZ4" i="58"/>
  <c r="S14" i="58"/>
  <c r="T14" i="58"/>
  <c r="V14" i="58"/>
  <c r="I24" i="58"/>
  <c r="I25" i="58"/>
  <c r="V9" i="58"/>
  <c r="I31" i="58"/>
  <c r="V10" i="58"/>
  <c r="I32" i="58"/>
  <c r="W16" i="58"/>
  <c r="W17" i="58"/>
  <c r="W18" i="58"/>
  <c r="G29" i="58"/>
  <c r="S24" i="58"/>
  <c r="S23" i="58"/>
  <c r="S29" i="58"/>
  <c r="S25" i="58"/>
  <c r="S30" i="58"/>
  <c r="S26" i="58"/>
  <c r="S31" i="58"/>
  <c r="I34" i="58"/>
  <c r="AT114" i="58"/>
  <c r="AV114" i="58"/>
  <c r="AW114" i="58"/>
  <c r="AX114" i="58"/>
  <c r="AY114" i="58"/>
  <c r="AT113" i="58"/>
  <c r="AV113" i="58"/>
  <c r="AW113" i="58"/>
  <c r="AX113" i="58"/>
  <c r="AY113" i="58"/>
  <c r="AT112" i="58"/>
  <c r="AV112" i="58"/>
  <c r="AW112" i="58"/>
  <c r="AX112" i="58"/>
  <c r="AY112" i="58"/>
  <c r="AT111" i="58"/>
  <c r="AV111" i="58"/>
  <c r="AW111" i="58"/>
  <c r="AX111" i="58"/>
  <c r="AY111" i="58"/>
  <c r="AT110" i="58"/>
  <c r="AV110" i="58"/>
  <c r="AW110" i="58"/>
  <c r="AX110" i="58"/>
  <c r="AY110" i="58"/>
  <c r="AT109" i="58"/>
  <c r="AV109" i="58"/>
  <c r="AW109" i="58"/>
  <c r="AX109" i="58"/>
  <c r="AY109" i="58"/>
  <c r="AT108" i="58"/>
  <c r="AV108" i="58"/>
  <c r="AW108" i="58"/>
  <c r="AX108" i="58"/>
  <c r="AY108" i="58"/>
  <c r="AT107" i="58"/>
  <c r="AV107" i="58"/>
  <c r="AW107" i="58"/>
  <c r="AX107" i="58"/>
  <c r="AY107" i="58"/>
  <c r="AT106" i="58"/>
  <c r="AV106" i="58"/>
  <c r="AW106" i="58"/>
  <c r="AX106" i="58"/>
  <c r="AY106" i="58"/>
  <c r="AT105" i="58"/>
  <c r="AV105" i="58"/>
  <c r="AW105" i="58"/>
  <c r="AX105" i="58"/>
  <c r="AY105" i="58"/>
  <c r="AT104" i="58"/>
  <c r="AV104" i="58"/>
  <c r="AW104" i="58"/>
  <c r="AX104" i="58"/>
  <c r="AY104" i="58"/>
  <c r="AT103" i="58"/>
  <c r="AV103" i="58"/>
  <c r="AW103" i="58"/>
  <c r="AX103" i="58"/>
  <c r="AY103" i="58"/>
  <c r="AT102" i="58"/>
  <c r="AV102" i="58"/>
  <c r="AW102" i="58"/>
  <c r="AX102" i="58"/>
  <c r="AY102" i="58"/>
  <c r="AT101" i="58"/>
  <c r="AV101" i="58"/>
  <c r="AW101" i="58"/>
  <c r="AX101" i="58"/>
  <c r="AY101" i="58"/>
  <c r="AT100" i="58"/>
  <c r="AV100" i="58"/>
  <c r="AW100" i="58"/>
  <c r="AX100" i="58"/>
  <c r="AY100" i="58"/>
  <c r="AT99" i="58"/>
  <c r="AV99" i="58"/>
  <c r="AW99" i="58"/>
  <c r="AX99" i="58"/>
  <c r="AY99" i="58"/>
  <c r="AT98" i="58"/>
  <c r="AV98" i="58"/>
  <c r="AW98" i="58"/>
  <c r="AX98" i="58"/>
  <c r="AY98" i="58"/>
  <c r="AT97" i="58"/>
  <c r="AV97" i="58"/>
  <c r="AW97" i="58"/>
  <c r="AX97" i="58"/>
  <c r="AY97" i="58"/>
  <c r="AT96" i="58"/>
  <c r="AV96" i="58"/>
  <c r="AW96" i="58"/>
  <c r="AX96" i="58"/>
  <c r="AY96" i="58"/>
  <c r="AT95" i="58"/>
  <c r="AV95" i="58"/>
  <c r="AW95" i="58"/>
  <c r="AX95" i="58"/>
  <c r="AY95" i="58"/>
  <c r="AT94" i="58"/>
  <c r="AV94" i="58"/>
  <c r="AW94" i="58"/>
  <c r="AX94" i="58"/>
  <c r="AY94" i="58"/>
  <c r="AT93" i="58"/>
  <c r="AV93" i="58"/>
  <c r="AW93" i="58"/>
  <c r="AX93" i="58"/>
  <c r="AY93" i="58"/>
  <c r="AT92" i="58"/>
  <c r="AV92" i="58"/>
  <c r="AW92" i="58"/>
  <c r="AX92" i="58"/>
  <c r="AY92" i="58"/>
  <c r="AT91" i="58"/>
  <c r="AV91" i="58"/>
  <c r="AW91" i="58"/>
  <c r="AX91" i="58"/>
  <c r="AY91" i="58"/>
  <c r="AT90" i="58"/>
  <c r="AV90" i="58"/>
  <c r="AW90" i="58"/>
  <c r="AX90" i="58"/>
  <c r="AY90" i="58"/>
  <c r="AT89" i="58"/>
  <c r="AV89" i="58"/>
  <c r="AW89" i="58"/>
  <c r="AX89" i="58"/>
  <c r="AY89" i="58"/>
  <c r="AT88" i="58"/>
  <c r="AV88" i="58"/>
  <c r="AW88" i="58"/>
  <c r="AX88" i="58"/>
  <c r="AY88" i="58"/>
  <c r="AT87" i="58"/>
  <c r="AV87" i="58"/>
  <c r="AW87" i="58"/>
  <c r="AX87" i="58"/>
  <c r="AY87" i="58"/>
  <c r="AT86" i="58"/>
  <c r="AV86" i="58"/>
  <c r="AW86" i="58"/>
  <c r="AX86" i="58"/>
  <c r="AY86" i="58"/>
  <c r="AT85" i="58"/>
  <c r="AV85" i="58"/>
  <c r="AW85" i="58"/>
  <c r="AX85" i="58"/>
  <c r="AY85" i="58"/>
  <c r="AT84" i="58"/>
  <c r="AV84" i="58"/>
  <c r="AW84" i="58"/>
  <c r="AX84" i="58"/>
  <c r="AY84" i="58"/>
  <c r="AT83" i="58"/>
  <c r="AV83" i="58"/>
  <c r="AW83" i="58"/>
  <c r="AX83" i="58"/>
  <c r="AY83" i="58"/>
  <c r="AT82" i="58"/>
  <c r="AV82" i="58"/>
  <c r="AW82" i="58"/>
  <c r="AX82" i="58"/>
  <c r="AY82" i="58"/>
  <c r="AT81" i="58"/>
  <c r="AV81" i="58"/>
  <c r="AW81" i="58"/>
  <c r="AX81" i="58"/>
  <c r="AY81" i="58"/>
  <c r="AT80" i="58"/>
  <c r="AV80" i="58"/>
  <c r="AW80" i="58"/>
  <c r="AX80" i="58"/>
  <c r="AY80" i="58"/>
  <c r="AT79" i="58"/>
  <c r="AV79" i="58"/>
  <c r="AW79" i="58"/>
  <c r="AX79" i="58"/>
  <c r="AY79" i="58"/>
  <c r="AT78" i="58"/>
  <c r="AV78" i="58"/>
  <c r="AW78" i="58"/>
  <c r="AX78" i="58"/>
  <c r="AY78" i="58"/>
  <c r="AT77" i="58"/>
  <c r="AV77" i="58"/>
  <c r="AW77" i="58"/>
  <c r="AX77" i="58"/>
  <c r="AY77" i="58"/>
  <c r="AT76" i="58"/>
  <c r="AV76" i="58"/>
  <c r="AW76" i="58"/>
  <c r="AX76" i="58"/>
  <c r="AY76" i="58"/>
  <c r="AT75" i="58"/>
  <c r="AV75" i="58"/>
  <c r="AW75" i="58"/>
  <c r="AX75" i="58"/>
  <c r="AY75" i="58"/>
  <c r="AT74" i="58"/>
  <c r="AV74" i="58"/>
  <c r="AW74" i="58"/>
  <c r="AX74" i="58"/>
  <c r="AY74" i="58"/>
  <c r="AT73" i="58"/>
  <c r="AV73" i="58"/>
  <c r="AW73" i="58"/>
  <c r="AX73" i="58"/>
  <c r="AY73" i="58"/>
  <c r="AT72" i="58"/>
  <c r="AV72" i="58"/>
  <c r="AW72" i="58"/>
  <c r="AX72" i="58"/>
  <c r="AY72" i="58"/>
  <c r="AT71" i="58"/>
  <c r="AV71" i="58"/>
  <c r="AW71" i="58"/>
  <c r="AX71" i="58"/>
  <c r="AY71" i="58"/>
  <c r="AT70" i="58"/>
  <c r="AV70" i="58"/>
  <c r="AW70" i="58"/>
  <c r="AX70" i="58"/>
  <c r="AY70" i="58"/>
  <c r="AT69" i="58"/>
  <c r="AV69" i="58"/>
  <c r="AW69" i="58"/>
  <c r="AX69" i="58"/>
  <c r="AY69" i="58"/>
  <c r="AT68" i="58"/>
  <c r="AV68" i="58"/>
  <c r="AW68" i="58"/>
  <c r="AX68" i="58"/>
  <c r="AY68" i="58"/>
  <c r="AT67" i="58"/>
  <c r="AV67" i="58"/>
  <c r="AW67" i="58"/>
  <c r="AX67" i="58"/>
  <c r="AY67" i="58"/>
  <c r="AT66" i="58"/>
  <c r="AV66" i="58"/>
  <c r="AW66" i="58"/>
  <c r="AX66" i="58"/>
  <c r="AY66" i="58"/>
  <c r="AT65" i="58"/>
  <c r="AV65" i="58"/>
  <c r="AW65" i="58"/>
  <c r="AX65" i="58"/>
  <c r="AY65" i="58"/>
  <c r="AT64" i="58"/>
  <c r="AV64" i="58"/>
  <c r="AW64" i="58"/>
  <c r="AX64" i="58"/>
  <c r="AY64" i="58"/>
  <c r="AT63" i="58"/>
  <c r="AV63" i="58"/>
  <c r="AW63" i="58"/>
  <c r="AX63" i="58"/>
  <c r="AY63" i="58"/>
  <c r="AT62" i="58"/>
  <c r="AV62" i="58"/>
  <c r="AW62" i="58"/>
  <c r="AX62" i="58"/>
  <c r="AY62" i="58"/>
  <c r="AT61" i="58"/>
  <c r="AV61" i="58"/>
  <c r="AW61" i="58"/>
  <c r="AX61" i="58"/>
  <c r="AY61" i="58"/>
  <c r="AT60" i="58"/>
  <c r="AV60" i="58"/>
  <c r="AW60" i="58"/>
  <c r="AX60" i="58"/>
  <c r="AY60" i="58"/>
  <c r="AT59" i="58"/>
  <c r="AV59" i="58"/>
  <c r="AW59" i="58"/>
  <c r="AX59" i="58"/>
  <c r="AY59" i="58"/>
  <c r="AT58" i="58"/>
  <c r="AV58" i="58"/>
  <c r="AW58" i="58"/>
  <c r="AX58" i="58"/>
  <c r="AY58" i="58"/>
  <c r="AT57" i="58"/>
  <c r="AV57" i="58"/>
  <c r="AW57" i="58"/>
  <c r="AX57" i="58"/>
  <c r="AY57" i="58"/>
  <c r="AT56" i="58"/>
  <c r="AV56" i="58"/>
  <c r="AW56" i="58"/>
  <c r="AX56" i="58"/>
  <c r="AY56" i="58"/>
  <c r="AT55" i="58"/>
  <c r="AV55" i="58"/>
  <c r="AW55" i="58"/>
  <c r="AX55" i="58"/>
  <c r="AY55" i="58"/>
  <c r="AT54" i="58"/>
  <c r="AV54" i="58"/>
  <c r="AW54" i="58"/>
  <c r="AX54" i="58"/>
  <c r="AY54" i="58"/>
  <c r="AT53" i="58"/>
  <c r="AV53" i="58"/>
  <c r="AW53" i="58"/>
  <c r="AX53" i="58"/>
  <c r="AY53" i="58"/>
  <c r="AT52" i="58"/>
  <c r="AV52" i="58"/>
  <c r="AW52" i="58"/>
  <c r="AX52" i="58"/>
  <c r="AY52" i="58"/>
  <c r="AT51" i="58"/>
  <c r="AV51" i="58"/>
  <c r="AW51" i="58"/>
  <c r="AX51" i="58"/>
  <c r="AY51" i="58"/>
  <c r="AT50" i="58"/>
  <c r="AV50" i="58"/>
  <c r="AW50" i="58"/>
  <c r="AX50" i="58"/>
  <c r="AY50" i="58"/>
  <c r="AT49" i="58"/>
  <c r="AV49" i="58"/>
  <c r="AW49" i="58"/>
  <c r="AX49" i="58"/>
  <c r="AY49" i="58"/>
  <c r="AT48" i="58"/>
  <c r="AV48" i="58"/>
  <c r="AW48" i="58"/>
  <c r="AX48" i="58"/>
  <c r="AY48" i="58"/>
  <c r="AT47" i="58"/>
  <c r="AV47" i="58"/>
  <c r="AW47" i="58"/>
  <c r="AX47" i="58"/>
  <c r="AY47" i="58"/>
  <c r="AT46" i="58"/>
  <c r="AV46" i="58"/>
  <c r="AW46" i="58"/>
  <c r="AX46" i="58"/>
  <c r="AY46" i="58"/>
  <c r="AT45" i="58"/>
  <c r="AV45" i="58"/>
  <c r="AW45" i="58"/>
  <c r="AX45" i="58"/>
  <c r="AY45" i="58"/>
  <c r="AT44" i="58"/>
  <c r="AV44" i="58"/>
  <c r="AW44" i="58"/>
  <c r="AX44" i="58"/>
  <c r="AY44" i="58"/>
  <c r="AT43" i="58"/>
  <c r="AV43" i="58"/>
  <c r="AW43" i="58"/>
  <c r="AX43" i="58"/>
  <c r="AY43" i="58"/>
  <c r="AT42" i="58"/>
  <c r="AV42" i="58"/>
  <c r="AW42" i="58"/>
  <c r="AX42" i="58"/>
  <c r="AY42" i="58"/>
  <c r="AT41" i="58"/>
  <c r="AV41" i="58"/>
  <c r="AW41" i="58"/>
  <c r="AX41" i="58"/>
  <c r="AY41" i="58"/>
  <c r="AT40" i="58"/>
  <c r="AV40" i="58"/>
  <c r="AW40" i="58"/>
  <c r="AX40" i="58"/>
  <c r="AY40" i="58"/>
  <c r="AT39" i="58"/>
  <c r="AV39" i="58"/>
  <c r="AW39" i="58"/>
  <c r="AX39" i="58"/>
  <c r="AY39" i="58"/>
  <c r="AT38" i="58"/>
  <c r="AV38" i="58"/>
  <c r="AW38" i="58"/>
  <c r="AX38" i="58"/>
  <c r="AY38" i="58"/>
  <c r="AT37" i="58"/>
  <c r="AV37" i="58"/>
  <c r="AW37" i="58"/>
  <c r="AX37" i="58"/>
  <c r="AY37" i="58"/>
  <c r="O37" i="58"/>
  <c r="H37" i="58"/>
  <c r="AT36" i="58"/>
  <c r="AV36" i="58"/>
  <c r="AW36" i="58"/>
  <c r="AX36" i="58"/>
  <c r="AY36" i="58"/>
  <c r="AT35" i="58"/>
  <c r="AV35" i="58"/>
  <c r="AW35" i="58"/>
  <c r="AX35" i="58"/>
  <c r="AY35" i="58"/>
  <c r="AT33" i="58"/>
  <c r="AV33" i="58"/>
  <c r="AW33" i="58"/>
  <c r="AX33" i="58"/>
  <c r="AY33" i="58"/>
  <c r="W33" i="58"/>
  <c r="W31" i="58"/>
  <c r="AT30" i="58"/>
  <c r="AV30" i="58"/>
  <c r="AW30" i="58"/>
  <c r="AX30" i="58"/>
  <c r="AY30" i="58"/>
  <c r="W30" i="58"/>
  <c r="AT29" i="58"/>
  <c r="AV29" i="58"/>
  <c r="AW29" i="58"/>
  <c r="AX29" i="58"/>
  <c r="AY29" i="58"/>
  <c r="W29" i="58"/>
  <c r="AT28" i="58"/>
  <c r="AV28" i="58"/>
  <c r="AW28" i="58"/>
  <c r="AX28" i="58"/>
  <c r="AY28" i="58"/>
  <c r="G28" i="58"/>
  <c r="AT27" i="58"/>
  <c r="AV27" i="58"/>
  <c r="AW27" i="58"/>
  <c r="AX27" i="58"/>
  <c r="AY27" i="58"/>
  <c r="S27" i="58"/>
  <c r="W27" i="58"/>
  <c r="G27" i="58"/>
  <c r="AT26" i="58"/>
  <c r="AV26" i="58"/>
  <c r="AW26" i="58"/>
  <c r="AX26" i="58"/>
  <c r="AY26" i="58"/>
  <c r="W26" i="58"/>
  <c r="AT25" i="58"/>
  <c r="AV25" i="58"/>
  <c r="AW25" i="58"/>
  <c r="AX25" i="58"/>
  <c r="AY25" i="58"/>
  <c r="W25" i="58"/>
  <c r="W24" i="58"/>
  <c r="W19" i="58"/>
  <c r="V19" i="58"/>
  <c r="T19" i="58"/>
  <c r="S19" i="58"/>
  <c r="V18" i="58"/>
  <c r="T18" i="58"/>
  <c r="S18" i="58"/>
  <c r="V17" i="58"/>
  <c r="T17" i="58"/>
  <c r="S17" i="58"/>
  <c r="V16" i="58"/>
  <c r="T16" i="58"/>
  <c r="S16" i="58"/>
  <c r="U11" i="58"/>
  <c r="AE6" i="58"/>
  <c r="AE8" i="58"/>
  <c r="BB5" i="58"/>
  <c r="H10" i="5"/>
  <c r="K10" i="5"/>
  <c r="H12" i="5"/>
  <c r="K12" i="5"/>
  <c r="C15" i="5"/>
  <c r="D15" i="5"/>
  <c r="E15" i="5"/>
  <c r="F15" i="5"/>
  <c r="G15" i="5"/>
  <c r="I15" i="5"/>
  <c r="J15" i="5"/>
  <c r="M15" i="5"/>
  <c r="N15" i="5"/>
  <c r="P15" i="5"/>
  <c r="AU15" i="5"/>
  <c r="AV15" i="5"/>
  <c r="AW15" i="5"/>
  <c r="AX15" i="5"/>
  <c r="AY15" i="5"/>
  <c r="C5" i="5"/>
  <c r="D5" i="5"/>
  <c r="E5" i="5"/>
  <c r="F5" i="5"/>
  <c r="G5" i="5"/>
  <c r="I5" i="5"/>
  <c r="J5" i="5"/>
  <c r="M5" i="5"/>
  <c r="N5" i="5"/>
  <c r="P5" i="5"/>
  <c r="AU5" i="5"/>
  <c r="AV5" i="5"/>
  <c r="AW5" i="5"/>
  <c r="AX5" i="5"/>
  <c r="AY5" i="5"/>
  <c r="C6" i="5"/>
  <c r="D6" i="5"/>
  <c r="E6" i="5"/>
  <c r="F6" i="5"/>
  <c r="G6" i="5"/>
  <c r="I6" i="5"/>
  <c r="J6" i="5"/>
  <c r="M6" i="5"/>
  <c r="N6" i="5"/>
  <c r="P6" i="5"/>
  <c r="AU6" i="5"/>
  <c r="AV6" i="5"/>
  <c r="AW6" i="5"/>
  <c r="AX6" i="5"/>
  <c r="AY6" i="5"/>
  <c r="C7" i="5"/>
  <c r="D7" i="5"/>
  <c r="E7" i="5"/>
  <c r="F7" i="5"/>
  <c r="G7" i="5"/>
  <c r="I7" i="5"/>
  <c r="J7" i="5"/>
  <c r="M7" i="5"/>
  <c r="N7" i="5"/>
  <c r="P7" i="5"/>
  <c r="AU7" i="5"/>
  <c r="AV7" i="5"/>
  <c r="AW7" i="5"/>
  <c r="AX7" i="5"/>
  <c r="AY7" i="5"/>
  <c r="C8" i="5"/>
  <c r="D8" i="5"/>
  <c r="E8" i="5"/>
  <c r="F8" i="5"/>
  <c r="G8" i="5"/>
  <c r="I8" i="5"/>
  <c r="J8" i="5"/>
  <c r="M8" i="5"/>
  <c r="N8" i="5"/>
  <c r="P8" i="5"/>
  <c r="AU8" i="5"/>
  <c r="AV8" i="5"/>
  <c r="AW8" i="5"/>
  <c r="AX8" i="5"/>
  <c r="AY8" i="5"/>
  <c r="AB6" i="64"/>
  <c r="AU9" i="5"/>
  <c r="AB7" i="64"/>
  <c r="AV9" i="5"/>
  <c r="AB8" i="64"/>
  <c r="AW9" i="5"/>
  <c r="AX9" i="5"/>
  <c r="AY9" i="5"/>
  <c r="C10" i="5"/>
  <c r="D10" i="5"/>
  <c r="E10" i="5"/>
  <c r="F10" i="5"/>
  <c r="G10" i="5"/>
  <c r="I10" i="5"/>
  <c r="J10" i="5"/>
  <c r="M10" i="5"/>
  <c r="N10" i="5"/>
  <c r="O10" i="5"/>
  <c r="P10" i="5"/>
  <c r="Q10" i="5"/>
  <c r="R10" i="5"/>
  <c r="S10" i="5"/>
  <c r="AU10" i="5"/>
  <c r="AV10" i="5"/>
  <c r="AW10" i="5"/>
  <c r="AX10" i="5"/>
  <c r="AY10" i="5"/>
  <c r="C11" i="5"/>
  <c r="D11" i="5"/>
  <c r="E11" i="5"/>
  <c r="F11" i="5"/>
  <c r="G11" i="5"/>
  <c r="I11" i="5"/>
  <c r="J11" i="5"/>
  <c r="M11" i="5"/>
  <c r="N11" i="5"/>
  <c r="P11" i="5"/>
  <c r="AU11" i="5"/>
  <c r="AV11" i="5"/>
  <c r="AW11" i="5"/>
  <c r="AX11" i="5"/>
  <c r="AY11" i="5"/>
  <c r="C12" i="5"/>
  <c r="D12" i="5"/>
  <c r="E12" i="5"/>
  <c r="F12" i="5"/>
  <c r="G12" i="5"/>
  <c r="I12" i="5"/>
  <c r="J12" i="5"/>
  <c r="M12" i="5"/>
  <c r="N12" i="5"/>
  <c r="O12" i="5"/>
  <c r="P12" i="5"/>
  <c r="Q12" i="5"/>
  <c r="R12" i="5"/>
  <c r="S12" i="5"/>
  <c r="AU12" i="5"/>
  <c r="AV12" i="5"/>
  <c r="AW12" i="5"/>
  <c r="AX12" i="5"/>
  <c r="AY12" i="5"/>
  <c r="E13" i="5"/>
  <c r="P13" i="5"/>
  <c r="AB6" i="60"/>
  <c r="AU13" i="5"/>
  <c r="AB7" i="60"/>
  <c r="AV13" i="5"/>
  <c r="AB8" i="60"/>
  <c r="AW13" i="5"/>
  <c r="AX13" i="5"/>
  <c r="AY13" i="5"/>
  <c r="C14" i="5"/>
  <c r="D14" i="5"/>
  <c r="E14" i="5"/>
  <c r="F14" i="5"/>
  <c r="G14" i="5"/>
  <c r="I14" i="5"/>
  <c r="J14" i="5"/>
  <c r="M14" i="5"/>
  <c r="N14" i="5"/>
  <c r="P14" i="5"/>
  <c r="AU14" i="5"/>
  <c r="AV14" i="5"/>
  <c r="AW14" i="5"/>
  <c r="AX14" i="5"/>
  <c r="AY14" i="5"/>
  <c r="C16" i="5"/>
  <c r="D16" i="5"/>
  <c r="E16" i="5"/>
  <c r="F16" i="5"/>
  <c r="G16" i="5"/>
  <c r="I16" i="5"/>
  <c r="J16" i="5"/>
  <c r="M16" i="5"/>
  <c r="N16" i="5"/>
  <c r="P16" i="5"/>
  <c r="AU16" i="5"/>
  <c r="AV16" i="5"/>
  <c r="AW16" i="5"/>
  <c r="AX16" i="5"/>
  <c r="AY16" i="5"/>
  <c r="AY20" i="5"/>
  <c r="AX20" i="5"/>
  <c r="P20" i="5"/>
  <c r="E20" i="5"/>
  <c r="AX19" i="5"/>
  <c r="AW19" i="5"/>
  <c r="AV19" i="5"/>
  <c r="AU19" i="5"/>
  <c r="H6" i="5"/>
  <c r="K6" i="5"/>
  <c r="H7" i="5"/>
  <c r="K7" i="5"/>
  <c r="H8" i="5"/>
  <c r="K8" i="5"/>
  <c r="R37" i="64"/>
  <c r="H9" i="5"/>
  <c r="U37" i="64"/>
  <c r="S37" i="64"/>
  <c r="D37" i="64"/>
  <c r="R5" i="64"/>
  <c r="S5" i="64"/>
  <c r="G37" i="64"/>
  <c r="T5" i="64"/>
  <c r="AB15" i="64"/>
  <c r="T11" i="64"/>
  <c r="V11" i="64"/>
  <c r="I33" i="64"/>
  <c r="K9" i="5"/>
  <c r="H11" i="5"/>
  <c r="K11" i="5"/>
  <c r="R37" i="60"/>
  <c r="H13" i="5"/>
  <c r="U37" i="60"/>
  <c r="S37" i="60"/>
  <c r="D37" i="60"/>
  <c r="R5" i="60"/>
  <c r="S5" i="60"/>
  <c r="G37" i="60"/>
  <c r="T5" i="60"/>
  <c r="AB15" i="60"/>
  <c r="T11" i="60"/>
  <c r="V11" i="60"/>
  <c r="I33" i="60"/>
  <c r="K13" i="5"/>
  <c r="H14" i="5"/>
  <c r="K14" i="5"/>
  <c r="H15" i="5"/>
  <c r="K15" i="5"/>
  <c r="H16" i="5"/>
  <c r="K16" i="5"/>
  <c r="H5" i="5"/>
  <c r="H19" i="5"/>
  <c r="K5" i="5"/>
  <c r="K19" i="5"/>
  <c r="H20" i="5"/>
  <c r="O15" i="5"/>
  <c r="Q15" i="5"/>
  <c r="R15" i="5"/>
  <c r="S15" i="5"/>
  <c r="S11" i="5"/>
  <c r="Q5" i="5"/>
  <c r="R5" i="5"/>
  <c r="S5" i="5"/>
  <c r="O6" i="5"/>
  <c r="Q6" i="5"/>
  <c r="R6" i="5"/>
  <c r="S6" i="5"/>
  <c r="O7" i="5"/>
  <c r="Q7" i="5"/>
  <c r="R7" i="5"/>
  <c r="S7" i="5"/>
  <c r="O8" i="5"/>
  <c r="Q8" i="5"/>
  <c r="R8" i="5"/>
  <c r="S8" i="5"/>
  <c r="AS5" i="64"/>
  <c r="AS6" i="64"/>
  <c r="Q37" i="64"/>
  <c r="AT4" i="64"/>
  <c r="AU4" i="64"/>
  <c r="AT5" i="64"/>
  <c r="AV5" i="64"/>
  <c r="AX5" i="64"/>
  <c r="J37" i="64"/>
  <c r="AY5" i="64"/>
  <c r="AZ5" i="64"/>
  <c r="AS7" i="64"/>
  <c r="AW5" i="64"/>
  <c r="AT6" i="64"/>
  <c r="AV6" i="64"/>
  <c r="AX6" i="64"/>
  <c r="AY6" i="64"/>
  <c r="AZ6" i="64"/>
  <c r="AS8" i="64"/>
  <c r="AW6" i="64"/>
  <c r="AT7" i="64"/>
  <c r="AV7" i="64"/>
  <c r="AX7" i="64"/>
  <c r="AY7" i="64"/>
  <c r="AZ7" i="64"/>
  <c r="AS9" i="64"/>
  <c r="AW7" i="64"/>
  <c r="AT8" i="64"/>
  <c r="AV8" i="64"/>
  <c r="AX8" i="64"/>
  <c r="AY8" i="64"/>
  <c r="AZ8" i="64"/>
  <c r="AS10" i="64"/>
  <c r="AW8" i="64"/>
  <c r="AT9" i="64"/>
  <c r="AV9" i="64"/>
  <c r="AX9" i="64"/>
  <c r="AY9" i="64"/>
  <c r="AZ9" i="64"/>
  <c r="AS11" i="64"/>
  <c r="AW9" i="64"/>
  <c r="AT10" i="64"/>
  <c r="AV10" i="64"/>
  <c r="AX10" i="64"/>
  <c r="AY10" i="64"/>
  <c r="AZ10" i="64"/>
  <c r="AS12" i="64"/>
  <c r="AW10" i="64"/>
  <c r="AT11" i="64"/>
  <c r="AV11" i="64"/>
  <c r="AX11" i="64"/>
  <c r="AY11" i="64"/>
  <c r="AZ11" i="64"/>
  <c r="AS13" i="64"/>
  <c r="AW11" i="64"/>
  <c r="AT12" i="64"/>
  <c r="AV12" i="64"/>
  <c r="AX12" i="64"/>
  <c r="AY12" i="64"/>
  <c r="AZ12" i="64"/>
  <c r="AS14" i="64"/>
  <c r="AW12" i="64"/>
  <c r="AT13" i="64"/>
  <c r="AV13" i="64"/>
  <c r="AX13" i="64"/>
  <c r="AY13" i="64"/>
  <c r="AZ13" i="64"/>
  <c r="AS15" i="64"/>
  <c r="AW13" i="64"/>
  <c r="AT14" i="64"/>
  <c r="AV14" i="64"/>
  <c r="AX14" i="64"/>
  <c r="AY14" i="64"/>
  <c r="AZ14" i="64"/>
  <c r="AS16" i="64"/>
  <c r="AW14" i="64"/>
  <c r="AT15" i="64"/>
  <c r="AV15" i="64"/>
  <c r="AX15" i="64"/>
  <c r="AY15" i="64"/>
  <c r="AZ15" i="64"/>
  <c r="AS17" i="64"/>
  <c r="AW15" i="64"/>
  <c r="AT16" i="64"/>
  <c r="AV16" i="64"/>
  <c r="AX16" i="64"/>
  <c r="AY16" i="64"/>
  <c r="AZ16" i="64"/>
  <c r="AS18" i="64"/>
  <c r="AW16" i="64"/>
  <c r="AT17" i="64"/>
  <c r="AV17" i="64"/>
  <c r="AX17" i="64"/>
  <c r="AY17" i="64"/>
  <c r="AZ17" i="64"/>
  <c r="AS19" i="64"/>
  <c r="AW17" i="64"/>
  <c r="AT18" i="64"/>
  <c r="AV18" i="64"/>
  <c r="AX18" i="64"/>
  <c r="AY18" i="64"/>
  <c r="AZ18" i="64"/>
  <c r="AS20" i="64"/>
  <c r="AW18" i="64"/>
  <c r="AT19" i="64"/>
  <c r="AV19" i="64"/>
  <c r="AX19" i="64"/>
  <c r="AY19" i="64"/>
  <c r="AZ19" i="64"/>
  <c r="AS21" i="64"/>
  <c r="AW19" i="64"/>
  <c r="AT20" i="64"/>
  <c r="AV20" i="64"/>
  <c r="AX20" i="64"/>
  <c r="AY20" i="64"/>
  <c r="AZ20" i="64"/>
  <c r="AS22" i="64"/>
  <c r="AW20" i="64"/>
  <c r="AT21" i="64"/>
  <c r="AV21" i="64"/>
  <c r="AX21" i="64"/>
  <c r="AY21" i="64"/>
  <c r="AZ21" i="64"/>
  <c r="AS23" i="64"/>
  <c r="AW21" i="64"/>
  <c r="AT22" i="64"/>
  <c r="AV22" i="64"/>
  <c r="AX22" i="64"/>
  <c r="AY22" i="64"/>
  <c r="AZ22" i="64"/>
  <c r="AS24" i="64"/>
  <c r="AW22" i="64"/>
  <c r="AT23" i="64"/>
  <c r="AV23" i="64"/>
  <c r="AX23" i="64"/>
  <c r="AY23" i="64"/>
  <c r="AZ23" i="64"/>
  <c r="AS25" i="64"/>
  <c r="AW23" i="64"/>
  <c r="AT24" i="64"/>
  <c r="AV24" i="64"/>
  <c r="AW24" i="64"/>
  <c r="AX24" i="64"/>
  <c r="AY24" i="64"/>
  <c r="AZ24" i="64"/>
  <c r="AZ25" i="64"/>
  <c r="AS26" i="64"/>
  <c r="AZ26" i="64"/>
  <c r="AS27" i="64"/>
  <c r="AZ27" i="64"/>
  <c r="AS28" i="64"/>
  <c r="AZ28" i="64"/>
  <c r="AS29" i="64"/>
  <c r="AZ29" i="64"/>
  <c r="AS30" i="64"/>
  <c r="AZ30" i="64"/>
  <c r="AS33" i="64"/>
  <c r="AZ33" i="64"/>
  <c r="AS35" i="64"/>
  <c r="AZ35" i="64"/>
  <c r="AS36" i="64"/>
  <c r="AZ36" i="64"/>
  <c r="AS37" i="64"/>
  <c r="AZ37" i="64"/>
  <c r="AS38" i="64"/>
  <c r="AZ38" i="64"/>
  <c r="AS39" i="64"/>
  <c r="AZ39" i="64"/>
  <c r="AS40" i="64"/>
  <c r="AZ40" i="64"/>
  <c r="AS41" i="64"/>
  <c r="AZ41" i="64"/>
  <c r="AS42" i="64"/>
  <c r="AZ42" i="64"/>
  <c r="AS43" i="64"/>
  <c r="AZ43" i="64"/>
  <c r="AS44" i="64"/>
  <c r="AZ44" i="64"/>
  <c r="AS45" i="64"/>
  <c r="AZ45" i="64"/>
  <c r="AS46" i="64"/>
  <c r="AZ46" i="64"/>
  <c r="AS47" i="64"/>
  <c r="AZ47" i="64"/>
  <c r="AS48" i="64"/>
  <c r="AZ48" i="64"/>
  <c r="AS49" i="64"/>
  <c r="AZ49" i="64"/>
  <c r="AS50" i="64"/>
  <c r="AZ50" i="64"/>
  <c r="AS51" i="64"/>
  <c r="AZ51" i="64"/>
  <c r="AS52" i="64"/>
  <c r="AZ52" i="64"/>
  <c r="AS53" i="64"/>
  <c r="AZ53" i="64"/>
  <c r="AS54" i="64"/>
  <c r="AZ54" i="64"/>
  <c r="AS55" i="64"/>
  <c r="AZ55" i="64"/>
  <c r="AS56" i="64"/>
  <c r="AZ56" i="64"/>
  <c r="AS57" i="64"/>
  <c r="AZ57" i="64"/>
  <c r="AS58" i="64"/>
  <c r="AZ58" i="64"/>
  <c r="AS59" i="64"/>
  <c r="AZ59" i="64"/>
  <c r="AS60" i="64"/>
  <c r="AZ60" i="64"/>
  <c r="AS61" i="64"/>
  <c r="AZ61" i="64"/>
  <c r="AS62" i="64"/>
  <c r="AZ62" i="64"/>
  <c r="AS63" i="64"/>
  <c r="AZ63" i="64"/>
  <c r="AS64" i="64"/>
  <c r="AZ64" i="64"/>
  <c r="AS65" i="64"/>
  <c r="AZ65" i="64"/>
  <c r="AS66" i="64"/>
  <c r="AZ66" i="64"/>
  <c r="AS67" i="64"/>
  <c r="AZ67" i="64"/>
  <c r="AS68" i="64"/>
  <c r="AZ68" i="64"/>
  <c r="AS69" i="64"/>
  <c r="AZ69" i="64"/>
  <c r="AS70" i="64"/>
  <c r="AZ70" i="64"/>
  <c r="AS71" i="64"/>
  <c r="AZ71" i="64"/>
  <c r="AS72" i="64"/>
  <c r="AZ72" i="64"/>
  <c r="AS73" i="64"/>
  <c r="AZ73" i="64"/>
  <c r="AS74" i="64"/>
  <c r="AZ74" i="64"/>
  <c r="AS75" i="64"/>
  <c r="AZ75" i="64"/>
  <c r="AS76" i="64"/>
  <c r="AZ76" i="64"/>
  <c r="AS77" i="64"/>
  <c r="AZ77" i="64"/>
  <c r="AS78" i="64"/>
  <c r="AZ78" i="64"/>
  <c r="AS79" i="64"/>
  <c r="AZ79" i="64"/>
  <c r="AS80" i="64"/>
  <c r="AZ80" i="64"/>
  <c r="AS81" i="64"/>
  <c r="AZ81" i="64"/>
  <c r="AS82" i="64"/>
  <c r="AZ82" i="64"/>
  <c r="AS83" i="64"/>
  <c r="AZ83" i="64"/>
  <c r="AS84" i="64"/>
  <c r="AZ84" i="64"/>
  <c r="AS85" i="64"/>
  <c r="AZ85" i="64"/>
  <c r="AS86" i="64"/>
  <c r="AZ86" i="64"/>
  <c r="AS87" i="64"/>
  <c r="AZ87" i="64"/>
  <c r="AS88" i="64"/>
  <c r="AZ88" i="64"/>
  <c r="AS89" i="64"/>
  <c r="AZ89" i="64"/>
  <c r="AS90" i="64"/>
  <c r="AZ90" i="64"/>
  <c r="AS91" i="64"/>
  <c r="AZ91" i="64"/>
  <c r="AS92" i="64"/>
  <c r="AZ92" i="64"/>
  <c r="AS93" i="64"/>
  <c r="AZ93" i="64"/>
  <c r="AS94" i="64"/>
  <c r="AZ94" i="64"/>
  <c r="AS95" i="64"/>
  <c r="AZ95" i="64"/>
  <c r="AS96" i="64"/>
  <c r="AZ96" i="64"/>
  <c r="AS97" i="64"/>
  <c r="AZ97" i="64"/>
  <c r="AS98" i="64"/>
  <c r="AZ98" i="64"/>
  <c r="AS99" i="64"/>
  <c r="AZ99" i="64"/>
  <c r="AS100" i="64"/>
  <c r="AZ100" i="64"/>
  <c r="AS101" i="64"/>
  <c r="AZ101" i="64"/>
  <c r="AS102" i="64"/>
  <c r="AZ102" i="64"/>
  <c r="AS103" i="64"/>
  <c r="AZ103" i="64"/>
  <c r="AS104" i="64"/>
  <c r="AZ104" i="64"/>
  <c r="AS105" i="64"/>
  <c r="AZ105" i="64"/>
  <c r="AS106" i="64"/>
  <c r="AZ106" i="64"/>
  <c r="AS107" i="64"/>
  <c r="AZ107" i="64"/>
  <c r="AS108" i="64"/>
  <c r="AZ108" i="64"/>
  <c r="AS109" i="64"/>
  <c r="AZ109" i="64"/>
  <c r="AS110" i="64"/>
  <c r="AZ110" i="64"/>
  <c r="AS111" i="64"/>
  <c r="AZ111" i="64"/>
  <c r="AS112" i="64"/>
  <c r="AZ112" i="64"/>
  <c r="AS113" i="64"/>
  <c r="AZ113" i="64"/>
  <c r="AS114" i="64"/>
  <c r="AZ114" i="64"/>
  <c r="BA5" i="64"/>
  <c r="R14" i="64"/>
  <c r="AX4" i="64"/>
  <c r="AY4" i="64"/>
  <c r="AZ4" i="64"/>
  <c r="S14" i="64"/>
  <c r="T14" i="64"/>
  <c r="V14" i="64"/>
  <c r="W18" i="64"/>
  <c r="O9" i="5"/>
  <c r="R6" i="64"/>
  <c r="S6" i="64"/>
  <c r="W37" i="64"/>
  <c r="V37" i="64"/>
  <c r="T6" i="64"/>
  <c r="S12" i="64"/>
  <c r="T12" i="64"/>
  <c r="I23" i="64"/>
  <c r="I24" i="64"/>
  <c r="G29" i="64"/>
  <c r="P9" i="5"/>
  <c r="AB13" i="64"/>
  <c r="V5" i="64"/>
  <c r="S9" i="64"/>
  <c r="T9" i="64"/>
  <c r="S24" i="64"/>
  <c r="S23" i="64"/>
  <c r="S29" i="64"/>
  <c r="Q9" i="5"/>
  <c r="AB14" i="64"/>
  <c r="S10" i="64"/>
  <c r="T10" i="64"/>
  <c r="S25" i="64"/>
  <c r="S30" i="64"/>
  <c r="R9" i="5"/>
  <c r="S26" i="64"/>
  <c r="S31" i="64"/>
  <c r="S9" i="5"/>
  <c r="O11" i="5"/>
  <c r="Q11" i="5"/>
  <c r="R11" i="5"/>
  <c r="AB13" i="60"/>
  <c r="V5" i="60"/>
  <c r="S9" i="60"/>
  <c r="T9" i="60"/>
  <c r="I21" i="60"/>
  <c r="C13" i="5"/>
  <c r="AB14" i="60"/>
  <c r="S10" i="60"/>
  <c r="T10" i="60"/>
  <c r="I22" i="60"/>
  <c r="D13" i="5"/>
  <c r="AS5" i="60"/>
  <c r="AS6" i="60"/>
  <c r="Q37" i="60"/>
  <c r="AT4" i="60"/>
  <c r="AU4" i="60"/>
  <c r="AT5" i="60"/>
  <c r="AV5" i="60"/>
  <c r="AX5" i="60"/>
  <c r="J37" i="60"/>
  <c r="AY5" i="60"/>
  <c r="AZ5" i="60"/>
  <c r="AS7" i="60"/>
  <c r="AW5" i="60"/>
  <c r="AT6" i="60"/>
  <c r="AV6" i="60"/>
  <c r="AX6" i="60"/>
  <c r="AY6" i="60"/>
  <c r="AZ6" i="60"/>
  <c r="AS8" i="60"/>
  <c r="AW6" i="60"/>
  <c r="AT7" i="60"/>
  <c r="AV7" i="60"/>
  <c r="AX7" i="60"/>
  <c r="AY7" i="60"/>
  <c r="AZ7" i="60"/>
  <c r="AS9" i="60"/>
  <c r="AW7" i="60"/>
  <c r="AT8" i="60"/>
  <c r="AV8" i="60"/>
  <c r="AX8" i="60"/>
  <c r="AY8" i="60"/>
  <c r="AZ8" i="60"/>
  <c r="AS10" i="60"/>
  <c r="AW8" i="60"/>
  <c r="AT9" i="60"/>
  <c r="AV9" i="60"/>
  <c r="AX9" i="60"/>
  <c r="AY9" i="60"/>
  <c r="AZ9" i="60"/>
  <c r="AS11" i="60"/>
  <c r="AW9" i="60"/>
  <c r="AT10" i="60"/>
  <c r="AV10" i="60"/>
  <c r="AX10" i="60"/>
  <c r="AY10" i="60"/>
  <c r="AZ10" i="60"/>
  <c r="AS12" i="60"/>
  <c r="AW10" i="60"/>
  <c r="AT11" i="60"/>
  <c r="AV11" i="60"/>
  <c r="AX11" i="60"/>
  <c r="AY11" i="60"/>
  <c r="AZ11" i="60"/>
  <c r="AS13" i="60"/>
  <c r="AW11" i="60"/>
  <c r="AT12" i="60"/>
  <c r="AV12" i="60"/>
  <c r="AX12" i="60"/>
  <c r="AY12" i="60"/>
  <c r="AZ12" i="60"/>
  <c r="AS14" i="60"/>
  <c r="AW12" i="60"/>
  <c r="AT13" i="60"/>
  <c r="AV13" i="60"/>
  <c r="AX13" i="60"/>
  <c r="AY13" i="60"/>
  <c r="AZ13" i="60"/>
  <c r="AS15" i="60"/>
  <c r="AW13" i="60"/>
  <c r="AT14" i="60"/>
  <c r="AV14" i="60"/>
  <c r="AX14" i="60"/>
  <c r="AY14" i="60"/>
  <c r="AZ14" i="60"/>
  <c r="AS16" i="60"/>
  <c r="AW14" i="60"/>
  <c r="AT15" i="60"/>
  <c r="AV15" i="60"/>
  <c r="AX15" i="60"/>
  <c r="AY15" i="60"/>
  <c r="AZ15" i="60"/>
  <c r="AS17" i="60"/>
  <c r="AW15" i="60"/>
  <c r="AT16" i="60"/>
  <c r="AV16" i="60"/>
  <c r="AX16" i="60"/>
  <c r="AY16" i="60"/>
  <c r="AZ16" i="60"/>
  <c r="AS18" i="60"/>
  <c r="AW16" i="60"/>
  <c r="AT17" i="60"/>
  <c r="AV17" i="60"/>
  <c r="AX17" i="60"/>
  <c r="AY17" i="60"/>
  <c r="AZ17" i="60"/>
  <c r="AS19" i="60"/>
  <c r="AW17" i="60"/>
  <c r="AT18" i="60"/>
  <c r="AV18" i="60"/>
  <c r="AX18" i="60"/>
  <c r="AY18" i="60"/>
  <c r="AZ18" i="60"/>
  <c r="AS20" i="60"/>
  <c r="AW18" i="60"/>
  <c r="AT19" i="60"/>
  <c r="AV19" i="60"/>
  <c r="AX19" i="60"/>
  <c r="AY19" i="60"/>
  <c r="AZ19" i="60"/>
  <c r="AS21" i="60"/>
  <c r="AW19" i="60"/>
  <c r="AT20" i="60"/>
  <c r="AV20" i="60"/>
  <c r="AX20" i="60"/>
  <c r="AY20" i="60"/>
  <c r="AZ20" i="60"/>
  <c r="AS22" i="60"/>
  <c r="AW20" i="60"/>
  <c r="AT21" i="60"/>
  <c r="AV21" i="60"/>
  <c r="AX21" i="60"/>
  <c r="AY21" i="60"/>
  <c r="AZ21" i="60"/>
  <c r="AS23" i="60"/>
  <c r="AW21" i="60"/>
  <c r="AT22" i="60"/>
  <c r="AV22" i="60"/>
  <c r="AX22" i="60"/>
  <c r="AY22" i="60"/>
  <c r="AZ22" i="60"/>
  <c r="AS24" i="60"/>
  <c r="AW22" i="60"/>
  <c r="AT23" i="60"/>
  <c r="AV23" i="60"/>
  <c r="AX23" i="60"/>
  <c r="AY23" i="60"/>
  <c r="AZ23" i="60"/>
  <c r="AS25" i="60"/>
  <c r="AW23" i="60"/>
  <c r="AT24" i="60"/>
  <c r="AV24" i="60"/>
  <c r="AW24" i="60"/>
  <c r="AX24" i="60"/>
  <c r="AY24" i="60"/>
  <c r="AZ24" i="60"/>
  <c r="AZ25" i="60"/>
  <c r="AS26" i="60"/>
  <c r="AZ26" i="60"/>
  <c r="AS27" i="60"/>
  <c r="AZ27" i="60"/>
  <c r="AS28" i="60"/>
  <c r="AZ28" i="60"/>
  <c r="AS29" i="60"/>
  <c r="AZ29" i="60"/>
  <c r="AS30" i="60"/>
  <c r="AZ30" i="60"/>
  <c r="AS33" i="60"/>
  <c r="AZ33" i="60"/>
  <c r="AS35" i="60"/>
  <c r="AZ35" i="60"/>
  <c r="AS36" i="60"/>
  <c r="AZ36" i="60"/>
  <c r="AS37" i="60"/>
  <c r="AZ37" i="60"/>
  <c r="AS38" i="60"/>
  <c r="AZ38" i="60"/>
  <c r="AS39" i="60"/>
  <c r="AZ39" i="60"/>
  <c r="AS40" i="60"/>
  <c r="AZ40" i="60"/>
  <c r="AS41" i="60"/>
  <c r="AZ41" i="60"/>
  <c r="AS42" i="60"/>
  <c r="AZ42" i="60"/>
  <c r="AS43" i="60"/>
  <c r="AZ43" i="60"/>
  <c r="AS44" i="60"/>
  <c r="AZ44" i="60"/>
  <c r="AS45" i="60"/>
  <c r="AZ45" i="60"/>
  <c r="AS46" i="60"/>
  <c r="AZ46" i="60"/>
  <c r="AS47" i="60"/>
  <c r="AZ47" i="60"/>
  <c r="AS48" i="60"/>
  <c r="AZ48" i="60"/>
  <c r="AS49" i="60"/>
  <c r="AZ49" i="60"/>
  <c r="AS50" i="60"/>
  <c r="AZ50" i="60"/>
  <c r="AS51" i="60"/>
  <c r="AZ51" i="60"/>
  <c r="AS52" i="60"/>
  <c r="AZ52" i="60"/>
  <c r="AS53" i="60"/>
  <c r="AZ53" i="60"/>
  <c r="AS54" i="60"/>
  <c r="AZ54" i="60"/>
  <c r="AS55" i="60"/>
  <c r="AZ55" i="60"/>
  <c r="AS56" i="60"/>
  <c r="AZ56" i="60"/>
  <c r="AS57" i="60"/>
  <c r="AZ57" i="60"/>
  <c r="AS58" i="60"/>
  <c r="AZ58" i="60"/>
  <c r="AS59" i="60"/>
  <c r="AZ59" i="60"/>
  <c r="AS60" i="60"/>
  <c r="AZ60" i="60"/>
  <c r="AS61" i="60"/>
  <c r="AZ61" i="60"/>
  <c r="AS62" i="60"/>
  <c r="AZ62" i="60"/>
  <c r="AS63" i="60"/>
  <c r="AZ63" i="60"/>
  <c r="AS64" i="60"/>
  <c r="AZ64" i="60"/>
  <c r="AS65" i="60"/>
  <c r="AZ65" i="60"/>
  <c r="AS66" i="60"/>
  <c r="AZ66" i="60"/>
  <c r="AS67" i="60"/>
  <c r="AZ67" i="60"/>
  <c r="AS68" i="60"/>
  <c r="AZ68" i="60"/>
  <c r="AS69" i="60"/>
  <c r="AZ69" i="60"/>
  <c r="AS70" i="60"/>
  <c r="AZ70" i="60"/>
  <c r="AS71" i="60"/>
  <c r="AZ71" i="60"/>
  <c r="AS72" i="60"/>
  <c r="AZ72" i="60"/>
  <c r="AS73" i="60"/>
  <c r="AZ73" i="60"/>
  <c r="AS74" i="60"/>
  <c r="AZ74" i="60"/>
  <c r="AS75" i="60"/>
  <c r="AZ75" i="60"/>
  <c r="AS76" i="60"/>
  <c r="AZ76" i="60"/>
  <c r="AS77" i="60"/>
  <c r="AZ77" i="60"/>
  <c r="AS78" i="60"/>
  <c r="AZ78" i="60"/>
  <c r="AS79" i="60"/>
  <c r="AZ79" i="60"/>
  <c r="AS80" i="60"/>
  <c r="AZ80" i="60"/>
  <c r="AS81" i="60"/>
  <c r="AZ81" i="60"/>
  <c r="AS82" i="60"/>
  <c r="AZ82" i="60"/>
  <c r="AS83" i="60"/>
  <c r="AZ83" i="60"/>
  <c r="AS84" i="60"/>
  <c r="AZ84" i="60"/>
  <c r="AS85" i="60"/>
  <c r="AZ85" i="60"/>
  <c r="AS86" i="60"/>
  <c r="AZ86" i="60"/>
  <c r="AS87" i="60"/>
  <c r="AZ87" i="60"/>
  <c r="AS88" i="60"/>
  <c r="AZ88" i="60"/>
  <c r="AS89" i="60"/>
  <c r="AZ89" i="60"/>
  <c r="AS90" i="60"/>
  <c r="AZ90" i="60"/>
  <c r="AS91" i="60"/>
  <c r="AZ91" i="60"/>
  <c r="AS92" i="60"/>
  <c r="AZ92" i="60"/>
  <c r="AS93" i="60"/>
  <c r="AZ93" i="60"/>
  <c r="AS94" i="60"/>
  <c r="AZ94" i="60"/>
  <c r="AS95" i="60"/>
  <c r="AZ95" i="60"/>
  <c r="AS96" i="60"/>
  <c r="AZ96" i="60"/>
  <c r="AS97" i="60"/>
  <c r="AZ97" i="60"/>
  <c r="AS98" i="60"/>
  <c r="AZ98" i="60"/>
  <c r="AS99" i="60"/>
  <c r="AZ99" i="60"/>
  <c r="AS100" i="60"/>
  <c r="AZ100" i="60"/>
  <c r="AS101" i="60"/>
  <c r="AZ101" i="60"/>
  <c r="AS102" i="60"/>
  <c r="AZ102" i="60"/>
  <c r="AS103" i="60"/>
  <c r="AZ103" i="60"/>
  <c r="AS104" i="60"/>
  <c r="AZ104" i="60"/>
  <c r="AS105" i="60"/>
  <c r="AZ105" i="60"/>
  <c r="AS106" i="60"/>
  <c r="AZ106" i="60"/>
  <c r="AS107" i="60"/>
  <c r="AZ107" i="60"/>
  <c r="AS108" i="60"/>
  <c r="AZ108" i="60"/>
  <c r="AS109" i="60"/>
  <c r="AZ109" i="60"/>
  <c r="AS110" i="60"/>
  <c r="AZ110" i="60"/>
  <c r="AS111" i="60"/>
  <c r="AZ111" i="60"/>
  <c r="AS112" i="60"/>
  <c r="AZ112" i="60"/>
  <c r="AS113" i="60"/>
  <c r="AZ113" i="60"/>
  <c r="AS114" i="60"/>
  <c r="AZ114" i="60"/>
  <c r="BA5" i="60"/>
  <c r="R14" i="60"/>
  <c r="AX4" i="60"/>
  <c r="AY4" i="60"/>
  <c r="AZ4" i="60"/>
  <c r="S14" i="60"/>
  <c r="T14" i="60"/>
  <c r="V14" i="60"/>
  <c r="I24" i="60"/>
  <c r="F13" i="5"/>
  <c r="I25" i="60"/>
  <c r="G13" i="5"/>
  <c r="V9" i="60"/>
  <c r="I31" i="60"/>
  <c r="I13" i="5"/>
  <c r="V10" i="60"/>
  <c r="I32" i="60"/>
  <c r="J13" i="5"/>
  <c r="W16" i="60"/>
  <c r="M13" i="5"/>
  <c r="W17" i="60"/>
  <c r="N13" i="5"/>
  <c r="W18" i="60"/>
  <c r="O13" i="5"/>
  <c r="S24" i="60"/>
  <c r="S23" i="60"/>
  <c r="S29" i="60"/>
  <c r="Q13" i="5"/>
  <c r="S25" i="60"/>
  <c r="S30" i="60"/>
  <c r="R13" i="5"/>
  <c r="S26" i="60"/>
  <c r="S31" i="60"/>
  <c r="S13" i="5"/>
  <c r="O14" i="5"/>
  <c r="Q14" i="5"/>
  <c r="R14" i="5"/>
  <c r="S14" i="5"/>
  <c r="O16" i="5"/>
  <c r="Q16" i="5"/>
  <c r="R16" i="5"/>
  <c r="S16" i="5"/>
  <c r="O5" i="5"/>
  <c r="O19" i="5"/>
  <c r="W17" i="64"/>
  <c r="N9" i="5"/>
  <c r="N19" i="5"/>
  <c r="W16" i="64"/>
  <c r="M9" i="5"/>
  <c r="M19" i="5"/>
  <c r="V10" i="64"/>
  <c r="I32" i="64"/>
  <c r="J9" i="5"/>
  <c r="J19" i="5"/>
  <c r="V9" i="64"/>
  <c r="I31" i="64"/>
  <c r="I9" i="5"/>
  <c r="I19" i="5"/>
  <c r="I25" i="64"/>
  <c r="G9" i="5"/>
  <c r="G19" i="5"/>
  <c r="F9" i="5"/>
  <c r="F19" i="5"/>
  <c r="E9" i="5"/>
  <c r="E19" i="5"/>
  <c r="I22" i="64"/>
  <c r="D9" i="5"/>
  <c r="D19" i="5"/>
  <c r="I21" i="64"/>
  <c r="C9" i="5"/>
  <c r="C19" i="5"/>
  <c r="K20" i="5"/>
  <c r="AW20" i="5"/>
  <c r="AV20" i="5"/>
  <c r="AU20" i="5"/>
  <c r="AS20" i="5"/>
  <c r="AR20" i="5"/>
  <c r="AQ20" i="5"/>
  <c r="AP20" i="5"/>
  <c r="AO20" i="5"/>
  <c r="AN20" i="5"/>
  <c r="AM20" i="5"/>
  <c r="AL20" i="5"/>
  <c r="AK20" i="5"/>
  <c r="AJ20" i="5"/>
  <c r="AI20" i="5"/>
  <c r="AH20" i="5"/>
  <c r="AG20" i="5"/>
  <c r="AF20" i="5"/>
  <c r="AE20" i="5"/>
  <c r="AD20" i="5"/>
  <c r="AC20" i="5"/>
  <c r="AB20" i="5"/>
  <c r="AA20" i="5"/>
  <c r="Z20" i="5"/>
  <c r="Y20" i="5"/>
  <c r="X20" i="5"/>
  <c r="W20" i="5"/>
  <c r="V20" i="5"/>
  <c r="U20" i="5"/>
  <c r="S20" i="5"/>
  <c r="R20" i="5"/>
  <c r="Q20" i="5"/>
  <c r="O20" i="5"/>
  <c r="N20" i="5"/>
  <c r="M20" i="5"/>
  <c r="J20" i="5"/>
  <c r="I20" i="5"/>
  <c r="G20" i="5"/>
  <c r="F20" i="5"/>
  <c r="D20" i="5"/>
  <c r="C20" i="5"/>
  <c r="I34" i="64"/>
  <c r="AT114" i="64"/>
  <c r="AV114" i="64"/>
  <c r="AW114" i="64"/>
  <c r="AX114" i="64"/>
  <c r="AY114" i="64"/>
  <c r="AT113" i="64"/>
  <c r="AV113" i="64"/>
  <c r="AW113" i="64"/>
  <c r="AX113" i="64"/>
  <c r="AY113" i="64"/>
  <c r="AT112" i="64"/>
  <c r="AV112" i="64"/>
  <c r="AW112" i="64"/>
  <c r="AX112" i="64"/>
  <c r="AY112" i="64"/>
  <c r="AT111" i="64"/>
  <c r="AV111" i="64"/>
  <c r="AW111" i="64"/>
  <c r="AX111" i="64"/>
  <c r="AY111" i="64"/>
  <c r="AT110" i="64"/>
  <c r="AV110" i="64"/>
  <c r="AW110" i="64"/>
  <c r="AX110" i="64"/>
  <c r="AY110" i="64"/>
  <c r="AT109" i="64"/>
  <c r="AV109" i="64"/>
  <c r="AW109" i="64"/>
  <c r="AX109" i="64"/>
  <c r="AY109" i="64"/>
  <c r="AT108" i="64"/>
  <c r="AV108" i="64"/>
  <c r="AW108" i="64"/>
  <c r="AX108" i="64"/>
  <c r="AY108" i="64"/>
  <c r="AT107" i="64"/>
  <c r="AV107" i="64"/>
  <c r="AW107" i="64"/>
  <c r="AX107" i="64"/>
  <c r="AY107" i="64"/>
  <c r="AT106" i="64"/>
  <c r="AV106" i="64"/>
  <c r="AW106" i="64"/>
  <c r="AX106" i="64"/>
  <c r="AY106" i="64"/>
  <c r="AT105" i="64"/>
  <c r="AV105" i="64"/>
  <c r="AW105" i="64"/>
  <c r="AX105" i="64"/>
  <c r="AY105" i="64"/>
  <c r="AT104" i="64"/>
  <c r="AV104" i="64"/>
  <c r="AW104" i="64"/>
  <c r="AX104" i="64"/>
  <c r="AY104" i="64"/>
  <c r="AT103" i="64"/>
  <c r="AV103" i="64"/>
  <c r="AW103" i="64"/>
  <c r="AX103" i="64"/>
  <c r="AY103" i="64"/>
  <c r="AT102" i="64"/>
  <c r="AV102" i="64"/>
  <c r="AW102" i="64"/>
  <c r="AX102" i="64"/>
  <c r="AY102" i="64"/>
  <c r="AT101" i="64"/>
  <c r="AV101" i="64"/>
  <c r="AW101" i="64"/>
  <c r="AX101" i="64"/>
  <c r="AY101" i="64"/>
  <c r="AT100" i="64"/>
  <c r="AV100" i="64"/>
  <c r="AW100" i="64"/>
  <c r="AX100" i="64"/>
  <c r="AY100" i="64"/>
  <c r="AT99" i="64"/>
  <c r="AV99" i="64"/>
  <c r="AW99" i="64"/>
  <c r="AX99" i="64"/>
  <c r="AY99" i="64"/>
  <c r="AT98" i="64"/>
  <c r="AV98" i="64"/>
  <c r="AW98" i="64"/>
  <c r="AX98" i="64"/>
  <c r="AY98" i="64"/>
  <c r="AT97" i="64"/>
  <c r="AV97" i="64"/>
  <c r="AW97" i="64"/>
  <c r="AX97" i="64"/>
  <c r="AY97" i="64"/>
  <c r="AT96" i="64"/>
  <c r="AV96" i="64"/>
  <c r="AW96" i="64"/>
  <c r="AX96" i="64"/>
  <c r="AY96" i="64"/>
  <c r="AT95" i="64"/>
  <c r="AV95" i="64"/>
  <c r="AW95" i="64"/>
  <c r="AX95" i="64"/>
  <c r="AY95" i="64"/>
  <c r="AT94" i="64"/>
  <c r="AV94" i="64"/>
  <c r="AW94" i="64"/>
  <c r="AX94" i="64"/>
  <c r="AY94" i="64"/>
  <c r="AT93" i="64"/>
  <c r="AV93" i="64"/>
  <c r="AW93" i="64"/>
  <c r="AX93" i="64"/>
  <c r="AY93" i="64"/>
  <c r="AT92" i="64"/>
  <c r="AV92" i="64"/>
  <c r="AW92" i="64"/>
  <c r="AX92" i="64"/>
  <c r="AY92" i="64"/>
  <c r="AT91" i="64"/>
  <c r="AV91" i="64"/>
  <c r="AW91" i="64"/>
  <c r="AX91" i="64"/>
  <c r="AY91" i="64"/>
  <c r="AT90" i="64"/>
  <c r="AV90" i="64"/>
  <c r="AW90" i="64"/>
  <c r="AX90" i="64"/>
  <c r="AY90" i="64"/>
  <c r="AT89" i="64"/>
  <c r="AV89" i="64"/>
  <c r="AW89" i="64"/>
  <c r="AX89" i="64"/>
  <c r="AY89" i="64"/>
  <c r="AT88" i="64"/>
  <c r="AV88" i="64"/>
  <c r="AW88" i="64"/>
  <c r="AX88" i="64"/>
  <c r="AY88" i="64"/>
  <c r="AT87" i="64"/>
  <c r="AV87" i="64"/>
  <c r="AW87" i="64"/>
  <c r="AX87" i="64"/>
  <c r="AY87" i="64"/>
  <c r="AT86" i="64"/>
  <c r="AV86" i="64"/>
  <c r="AW86" i="64"/>
  <c r="AX86" i="64"/>
  <c r="AY86" i="64"/>
  <c r="AT85" i="64"/>
  <c r="AV85" i="64"/>
  <c r="AW85" i="64"/>
  <c r="AX85" i="64"/>
  <c r="AY85" i="64"/>
  <c r="AT84" i="64"/>
  <c r="AV84" i="64"/>
  <c r="AW84" i="64"/>
  <c r="AX84" i="64"/>
  <c r="AY84" i="64"/>
  <c r="AT83" i="64"/>
  <c r="AV83" i="64"/>
  <c r="AW83" i="64"/>
  <c r="AX83" i="64"/>
  <c r="AY83" i="64"/>
  <c r="AT82" i="64"/>
  <c r="AV82" i="64"/>
  <c r="AW82" i="64"/>
  <c r="AX82" i="64"/>
  <c r="AY82" i="64"/>
  <c r="AT81" i="64"/>
  <c r="AV81" i="64"/>
  <c r="AW81" i="64"/>
  <c r="AX81" i="64"/>
  <c r="AY81" i="64"/>
  <c r="AT80" i="64"/>
  <c r="AV80" i="64"/>
  <c r="AW80" i="64"/>
  <c r="AX80" i="64"/>
  <c r="AY80" i="64"/>
  <c r="AT79" i="64"/>
  <c r="AV79" i="64"/>
  <c r="AW79" i="64"/>
  <c r="AX79" i="64"/>
  <c r="AY79" i="64"/>
  <c r="AT78" i="64"/>
  <c r="AV78" i="64"/>
  <c r="AW78" i="64"/>
  <c r="AX78" i="64"/>
  <c r="AY78" i="64"/>
  <c r="AT77" i="64"/>
  <c r="AV77" i="64"/>
  <c r="AW77" i="64"/>
  <c r="AX77" i="64"/>
  <c r="AY77" i="64"/>
  <c r="AT76" i="64"/>
  <c r="AV76" i="64"/>
  <c r="AW76" i="64"/>
  <c r="AX76" i="64"/>
  <c r="AY76" i="64"/>
  <c r="AT75" i="64"/>
  <c r="AV75" i="64"/>
  <c r="AW75" i="64"/>
  <c r="AX75" i="64"/>
  <c r="AY75" i="64"/>
  <c r="AT74" i="64"/>
  <c r="AV74" i="64"/>
  <c r="AW74" i="64"/>
  <c r="AX74" i="64"/>
  <c r="AY74" i="64"/>
  <c r="AT73" i="64"/>
  <c r="AV73" i="64"/>
  <c r="AW73" i="64"/>
  <c r="AX73" i="64"/>
  <c r="AY73" i="64"/>
  <c r="AT72" i="64"/>
  <c r="AV72" i="64"/>
  <c r="AW72" i="64"/>
  <c r="AX72" i="64"/>
  <c r="AY72" i="64"/>
  <c r="AT71" i="64"/>
  <c r="AV71" i="64"/>
  <c r="AW71" i="64"/>
  <c r="AX71" i="64"/>
  <c r="AY71" i="64"/>
  <c r="AT70" i="64"/>
  <c r="AV70" i="64"/>
  <c r="AW70" i="64"/>
  <c r="AX70" i="64"/>
  <c r="AY70" i="64"/>
  <c r="AT69" i="64"/>
  <c r="AV69" i="64"/>
  <c r="AW69" i="64"/>
  <c r="AX69" i="64"/>
  <c r="AY69" i="64"/>
  <c r="AT68" i="64"/>
  <c r="AV68" i="64"/>
  <c r="AW68" i="64"/>
  <c r="AX68" i="64"/>
  <c r="AY68" i="64"/>
  <c r="AT67" i="64"/>
  <c r="AV67" i="64"/>
  <c r="AW67" i="64"/>
  <c r="AX67" i="64"/>
  <c r="AY67" i="64"/>
  <c r="AT66" i="64"/>
  <c r="AV66" i="64"/>
  <c r="AW66" i="64"/>
  <c r="AX66" i="64"/>
  <c r="AY66" i="64"/>
  <c r="AT65" i="64"/>
  <c r="AV65" i="64"/>
  <c r="AW65" i="64"/>
  <c r="AX65" i="64"/>
  <c r="AY65" i="64"/>
  <c r="AT64" i="64"/>
  <c r="AV64" i="64"/>
  <c r="AW64" i="64"/>
  <c r="AX64" i="64"/>
  <c r="AY64" i="64"/>
  <c r="AT63" i="64"/>
  <c r="AV63" i="64"/>
  <c r="AW63" i="64"/>
  <c r="AX63" i="64"/>
  <c r="AY63" i="64"/>
  <c r="AT62" i="64"/>
  <c r="AV62" i="64"/>
  <c r="AW62" i="64"/>
  <c r="AX62" i="64"/>
  <c r="AY62" i="64"/>
  <c r="AT61" i="64"/>
  <c r="AV61" i="64"/>
  <c r="AW61" i="64"/>
  <c r="AX61" i="64"/>
  <c r="AY61" i="64"/>
  <c r="AT60" i="64"/>
  <c r="AV60" i="64"/>
  <c r="AW60" i="64"/>
  <c r="AX60" i="64"/>
  <c r="AY60" i="64"/>
  <c r="AT59" i="64"/>
  <c r="AV59" i="64"/>
  <c r="AW59" i="64"/>
  <c r="AX59" i="64"/>
  <c r="AY59" i="64"/>
  <c r="AT58" i="64"/>
  <c r="AV58" i="64"/>
  <c r="AW58" i="64"/>
  <c r="AX58" i="64"/>
  <c r="AY58" i="64"/>
  <c r="AT57" i="64"/>
  <c r="AV57" i="64"/>
  <c r="AW57" i="64"/>
  <c r="AX57" i="64"/>
  <c r="AY57" i="64"/>
  <c r="AT56" i="64"/>
  <c r="AV56" i="64"/>
  <c r="AW56" i="64"/>
  <c r="AX56" i="64"/>
  <c r="AY56" i="64"/>
  <c r="AT55" i="64"/>
  <c r="AV55" i="64"/>
  <c r="AW55" i="64"/>
  <c r="AX55" i="64"/>
  <c r="AY55" i="64"/>
  <c r="AT54" i="64"/>
  <c r="AV54" i="64"/>
  <c r="AW54" i="64"/>
  <c r="AX54" i="64"/>
  <c r="AY54" i="64"/>
  <c r="AT53" i="64"/>
  <c r="AV53" i="64"/>
  <c r="AW53" i="64"/>
  <c r="AX53" i="64"/>
  <c r="AY53" i="64"/>
  <c r="AT52" i="64"/>
  <c r="AV52" i="64"/>
  <c r="AW52" i="64"/>
  <c r="AX52" i="64"/>
  <c r="AY52" i="64"/>
  <c r="AT51" i="64"/>
  <c r="AV51" i="64"/>
  <c r="AW51" i="64"/>
  <c r="AX51" i="64"/>
  <c r="AY51" i="64"/>
  <c r="AT50" i="64"/>
  <c r="AV50" i="64"/>
  <c r="AW50" i="64"/>
  <c r="AX50" i="64"/>
  <c r="AY50" i="64"/>
  <c r="AT49" i="64"/>
  <c r="AV49" i="64"/>
  <c r="AW49" i="64"/>
  <c r="AX49" i="64"/>
  <c r="AY49" i="64"/>
  <c r="AT48" i="64"/>
  <c r="AV48" i="64"/>
  <c r="AW48" i="64"/>
  <c r="AX48" i="64"/>
  <c r="AY48" i="64"/>
  <c r="AT47" i="64"/>
  <c r="AV47" i="64"/>
  <c r="AW47" i="64"/>
  <c r="AX47" i="64"/>
  <c r="AY47" i="64"/>
  <c r="AT46" i="64"/>
  <c r="AV46" i="64"/>
  <c r="AW46" i="64"/>
  <c r="AX46" i="64"/>
  <c r="AY46" i="64"/>
  <c r="AT45" i="64"/>
  <c r="AV45" i="64"/>
  <c r="AW45" i="64"/>
  <c r="AX45" i="64"/>
  <c r="AY45" i="64"/>
  <c r="AT44" i="64"/>
  <c r="AV44" i="64"/>
  <c r="AW44" i="64"/>
  <c r="AX44" i="64"/>
  <c r="AY44" i="64"/>
  <c r="AT43" i="64"/>
  <c r="AV43" i="64"/>
  <c r="AW43" i="64"/>
  <c r="AX43" i="64"/>
  <c r="AY43" i="64"/>
  <c r="AT42" i="64"/>
  <c r="AV42" i="64"/>
  <c r="AW42" i="64"/>
  <c r="AX42" i="64"/>
  <c r="AY42" i="64"/>
  <c r="AT41" i="64"/>
  <c r="AV41" i="64"/>
  <c r="AW41" i="64"/>
  <c r="AX41" i="64"/>
  <c r="AY41" i="64"/>
  <c r="AT40" i="64"/>
  <c r="AV40" i="64"/>
  <c r="AW40" i="64"/>
  <c r="AX40" i="64"/>
  <c r="AY40" i="64"/>
  <c r="AT39" i="64"/>
  <c r="AV39" i="64"/>
  <c r="AW39" i="64"/>
  <c r="AX39" i="64"/>
  <c r="AY39" i="64"/>
  <c r="AT38" i="64"/>
  <c r="AV38" i="64"/>
  <c r="AW38" i="64"/>
  <c r="AX38" i="64"/>
  <c r="AY38" i="64"/>
  <c r="AT37" i="64"/>
  <c r="AV37" i="64"/>
  <c r="AW37" i="64"/>
  <c r="AX37" i="64"/>
  <c r="AY37" i="64"/>
  <c r="O37" i="64"/>
  <c r="H37" i="64"/>
  <c r="AT36" i="64"/>
  <c r="AV36" i="64"/>
  <c r="AW36" i="64"/>
  <c r="AX36" i="64"/>
  <c r="AY36" i="64"/>
  <c r="AT35" i="64"/>
  <c r="AV35" i="64"/>
  <c r="AW35" i="64"/>
  <c r="AX35" i="64"/>
  <c r="AY35" i="64"/>
  <c r="AT33" i="64"/>
  <c r="AV33" i="64"/>
  <c r="AW33" i="64"/>
  <c r="AX33" i="64"/>
  <c r="AY33" i="64"/>
  <c r="W33" i="64"/>
  <c r="W31" i="64"/>
  <c r="AT30" i="64"/>
  <c r="AV30" i="64"/>
  <c r="AW30" i="64"/>
  <c r="AX30" i="64"/>
  <c r="AY30" i="64"/>
  <c r="W30" i="64"/>
  <c r="AT29" i="64"/>
  <c r="AV29" i="64"/>
  <c r="AW29" i="64"/>
  <c r="AX29" i="64"/>
  <c r="AY29" i="64"/>
  <c r="W29" i="64"/>
  <c r="AT28" i="64"/>
  <c r="AV28" i="64"/>
  <c r="AW28" i="64"/>
  <c r="AX28" i="64"/>
  <c r="AY28" i="64"/>
  <c r="G28" i="64"/>
  <c r="AT27" i="64"/>
  <c r="AV27" i="64"/>
  <c r="AW27" i="64"/>
  <c r="AX27" i="64"/>
  <c r="AY27" i="64"/>
  <c r="S27" i="64"/>
  <c r="W27" i="64"/>
  <c r="G27" i="64"/>
  <c r="AT26" i="64"/>
  <c r="AV26" i="64"/>
  <c r="AW26" i="64"/>
  <c r="AX26" i="64"/>
  <c r="AY26" i="64"/>
  <c r="W26" i="64"/>
  <c r="AT25" i="64"/>
  <c r="AV25" i="64"/>
  <c r="AW25" i="64"/>
  <c r="AX25" i="64"/>
  <c r="AY25" i="64"/>
  <c r="W25" i="64"/>
  <c r="W24" i="64"/>
  <c r="W19" i="64"/>
  <c r="V19" i="64"/>
  <c r="T19" i="64"/>
  <c r="S19" i="64"/>
  <c r="V18" i="64"/>
  <c r="T18" i="64"/>
  <c r="S18" i="64"/>
  <c r="V17" i="64"/>
  <c r="T17" i="64"/>
  <c r="S17" i="64"/>
  <c r="V16" i="64"/>
  <c r="T16" i="64"/>
  <c r="S16" i="64"/>
  <c r="U11" i="64"/>
  <c r="AE6" i="64"/>
  <c r="AE8" i="64"/>
  <c r="BB5" i="64"/>
  <c r="R6" i="60"/>
  <c r="S6" i="60"/>
  <c r="W37" i="60"/>
  <c r="V37" i="60"/>
  <c r="T6" i="60"/>
  <c r="W19" i="60"/>
  <c r="AT114" i="60"/>
  <c r="AV114" i="60"/>
  <c r="AW114" i="60"/>
  <c r="AX114" i="60"/>
  <c r="AY114" i="60"/>
  <c r="AT113" i="60"/>
  <c r="AV113" i="60"/>
  <c r="AW113" i="60"/>
  <c r="AX113" i="60"/>
  <c r="AY113" i="60"/>
  <c r="AT112" i="60"/>
  <c r="AV112" i="60"/>
  <c r="AW112" i="60"/>
  <c r="AX112" i="60"/>
  <c r="AY112" i="60"/>
  <c r="AT111" i="60"/>
  <c r="AV111" i="60"/>
  <c r="AW111" i="60"/>
  <c r="AX111" i="60"/>
  <c r="AY111" i="60"/>
  <c r="AT110" i="60"/>
  <c r="AV110" i="60"/>
  <c r="AW110" i="60"/>
  <c r="AX110" i="60"/>
  <c r="AY110" i="60"/>
  <c r="AT109" i="60"/>
  <c r="AV109" i="60"/>
  <c r="AW109" i="60"/>
  <c r="AX109" i="60"/>
  <c r="AY109" i="60"/>
  <c r="AT108" i="60"/>
  <c r="AV108" i="60"/>
  <c r="AW108" i="60"/>
  <c r="AX108" i="60"/>
  <c r="AY108" i="60"/>
  <c r="AT107" i="60"/>
  <c r="AV107" i="60"/>
  <c r="AW107" i="60"/>
  <c r="AX107" i="60"/>
  <c r="AY107" i="60"/>
  <c r="AT106" i="60"/>
  <c r="AV106" i="60"/>
  <c r="AW106" i="60"/>
  <c r="AX106" i="60"/>
  <c r="AY106" i="60"/>
  <c r="AT105" i="60"/>
  <c r="AV105" i="60"/>
  <c r="AW105" i="60"/>
  <c r="AX105" i="60"/>
  <c r="AY105" i="60"/>
  <c r="AT104" i="60"/>
  <c r="AV104" i="60"/>
  <c r="AW104" i="60"/>
  <c r="AX104" i="60"/>
  <c r="AY104" i="60"/>
  <c r="AT103" i="60"/>
  <c r="AV103" i="60"/>
  <c r="AW103" i="60"/>
  <c r="AX103" i="60"/>
  <c r="AY103" i="60"/>
  <c r="AT102" i="60"/>
  <c r="AV102" i="60"/>
  <c r="AW102" i="60"/>
  <c r="AX102" i="60"/>
  <c r="AY102" i="60"/>
  <c r="AT101" i="60"/>
  <c r="AV101" i="60"/>
  <c r="AW101" i="60"/>
  <c r="AX101" i="60"/>
  <c r="AY101" i="60"/>
  <c r="AT100" i="60"/>
  <c r="AV100" i="60"/>
  <c r="AW100" i="60"/>
  <c r="AX100" i="60"/>
  <c r="AY100" i="60"/>
  <c r="AT99" i="60"/>
  <c r="AV99" i="60"/>
  <c r="AW99" i="60"/>
  <c r="AX99" i="60"/>
  <c r="AY99" i="60"/>
  <c r="AT98" i="60"/>
  <c r="AV98" i="60"/>
  <c r="AW98" i="60"/>
  <c r="AX98" i="60"/>
  <c r="AY98" i="60"/>
  <c r="AT97" i="60"/>
  <c r="AV97" i="60"/>
  <c r="AW97" i="60"/>
  <c r="AX97" i="60"/>
  <c r="AY97" i="60"/>
  <c r="AT96" i="60"/>
  <c r="AV96" i="60"/>
  <c r="AW96" i="60"/>
  <c r="AX96" i="60"/>
  <c r="AY96" i="60"/>
  <c r="AT95" i="60"/>
  <c r="AV95" i="60"/>
  <c r="AW95" i="60"/>
  <c r="AX95" i="60"/>
  <c r="AY95" i="60"/>
  <c r="AT94" i="60"/>
  <c r="AV94" i="60"/>
  <c r="AW94" i="60"/>
  <c r="AX94" i="60"/>
  <c r="AY94" i="60"/>
  <c r="AT93" i="60"/>
  <c r="AV93" i="60"/>
  <c r="AW93" i="60"/>
  <c r="AX93" i="60"/>
  <c r="AY93" i="60"/>
  <c r="AT92" i="60"/>
  <c r="AV92" i="60"/>
  <c r="AW92" i="60"/>
  <c r="AX92" i="60"/>
  <c r="AY92" i="60"/>
  <c r="AT91" i="60"/>
  <c r="AV91" i="60"/>
  <c r="AW91" i="60"/>
  <c r="AX91" i="60"/>
  <c r="AY91" i="60"/>
  <c r="AT90" i="60"/>
  <c r="AV90" i="60"/>
  <c r="AW90" i="60"/>
  <c r="AX90" i="60"/>
  <c r="AY90" i="60"/>
  <c r="AT89" i="60"/>
  <c r="AV89" i="60"/>
  <c r="AW89" i="60"/>
  <c r="AX89" i="60"/>
  <c r="AY89" i="60"/>
  <c r="AT88" i="60"/>
  <c r="AV88" i="60"/>
  <c r="AW88" i="60"/>
  <c r="AX88" i="60"/>
  <c r="AY88" i="60"/>
  <c r="AT87" i="60"/>
  <c r="AV87" i="60"/>
  <c r="AW87" i="60"/>
  <c r="AX87" i="60"/>
  <c r="AY87" i="60"/>
  <c r="AT86" i="60"/>
  <c r="AV86" i="60"/>
  <c r="AW86" i="60"/>
  <c r="AX86" i="60"/>
  <c r="AY86" i="60"/>
  <c r="AT85" i="60"/>
  <c r="AV85" i="60"/>
  <c r="AW85" i="60"/>
  <c r="AX85" i="60"/>
  <c r="AY85" i="60"/>
  <c r="AT84" i="60"/>
  <c r="AV84" i="60"/>
  <c r="AW84" i="60"/>
  <c r="AX84" i="60"/>
  <c r="AY84" i="60"/>
  <c r="AT83" i="60"/>
  <c r="AV83" i="60"/>
  <c r="AW83" i="60"/>
  <c r="AX83" i="60"/>
  <c r="AY83" i="60"/>
  <c r="AT82" i="60"/>
  <c r="AV82" i="60"/>
  <c r="AW82" i="60"/>
  <c r="AX82" i="60"/>
  <c r="AY82" i="60"/>
  <c r="AT81" i="60"/>
  <c r="AV81" i="60"/>
  <c r="AW81" i="60"/>
  <c r="AX81" i="60"/>
  <c r="AY81" i="60"/>
  <c r="AT80" i="60"/>
  <c r="AV80" i="60"/>
  <c r="AW80" i="60"/>
  <c r="AX80" i="60"/>
  <c r="AY80" i="60"/>
  <c r="AT79" i="60"/>
  <c r="AV79" i="60"/>
  <c r="AW79" i="60"/>
  <c r="AX79" i="60"/>
  <c r="AY79" i="60"/>
  <c r="AT78" i="60"/>
  <c r="AV78" i="60"/>
  <c r="AW78" i="60"/>
  <c r="AX78" i="60"/>
  <c r="AY78" i="60"/>
  <c r="AT77" i="60"/>
  <c r="AV77" i="60"/>
  <c r="AW77" i="60"/>
  <c r="AX77" i="60"/>
  <c r="AY77" i="60"/>
  <c r="AT76" i="60"/>
  <c r="AV76" i="60"/>
  <c r="AW76" i="60"/>
  <c r="AX76" i="60"/>
  <c r="AY76" i="60"/>
  <c r="AT75" i="60"/>
  <c r="AV75" i="60"/>
  <c r="AW75" i="60"/>
  <c r="AX75" i="60"/>
  <c r="AY75" i="60"/>
  <c r="AT74" i="60"/>
  <c r="AV74" i="60"/>
  <c r="AW74" i="60"/>
  <c r="AX74" i="60"/>
  <c r="AY74" i="60"/>
  <c r="AT73" i="60"/>
  <c r="AV73" i="60"/>
  <c r="AW73" i="60"/>
  <c r="AX73" i="60"/>
  <c r="AY73" i="60"/>
  <c r="AT72" i="60"/>
  <c r="AV72" i="60"/>
  <c r="AW72" i="60"/>
  <c r="AX72" i="60"/>
  <c r="AY72" i="60"/>
  <c r="AT71" i="60"/>
  <c r="AV71" i="60"/>
  <c r="AW71" i="60"/>
  <c r="AX71" i="60"/>
  <c r="AY71" i="60"/>
  <c r="AT70" i="60"/>
  <c r="AV70" i="60"/>
  <c r="AW70" i="60"/>
  <c r="AX70" i="60"/>
  <c r="AY70" i="60"/>
  <c r="AT69" i="60"/>
  <c r="AV69" i="60"/>
  <c r="AW69" i="60"/>
  <c r="AX69" i="60"/>
  <c r="AY69" i="60"/>
  <c r="AT68" i="60"/>
  <c r="AV68" i="60"/>
  <c r="AW68" i="60"/>
  <c r="AX68" i="60"/>
  <c r="AY68" i="60"/>
  <c r="AT67" i="60"/>
  <c r="AV67" i="60"/>
  <c r="AW67" i="60"/>
  <c r="AX67" i="60"/>
  <c r="AY67" i="60"/>
  <c r="AT66" i="60"/>
  <c r="AV66" i="60"/>
  <c r="AW66" i="60"/>
  <c r="AX66" i="60"/>
  <c r="AY66" i="60"/>
  <c r="AT65" i="60"/>
  <c r="AV65" i="60"/>
  <c r="AW65" i="60"/>
  <c r="AX65" i="60"/>
  <c r="AY65" i="60"/>
  <c r="AT64" i="60"/>
  <c r="AV64" i="60"/>
  <c r="AW64" i="60"/>
  <c r="AX64" i="60"/>
  <c r="AY64" i="60"/>
  <c r="AT63" i="60"/>
  <c r="AV63" i="60"/>
  <c r="AW63" i="60"/>
  <c r="AX63" i="60"/>
  <c r="AY63" i="60"/>
  <c r="AT62" i="60"/>
  <c r="AV62" i="60"/>
  <c r="AW62" i="60"/>
  <c r="AX62" i="60"/>
  <c r="AY62" i="60"/>
  <c r="AT61" i="60"/>
  <c r="AV61" i="60"/>
  <c r="AW61" i="60"/>
  <c r="AX61" i="60"/>
  <c r="AY61" i="60"/>
  <c r="AT60" i="60"/>
  <c r="AV60" i="60"/>
  <c r="AW60" i="60"/>
  <c r="AX60" i="60"/>
  <c r="AY60" i="60"/>
  <c r="AT59" i="60"/>
  <c r="AV59" i="60"/>
  <c r="AW59" i="60"/>
  <c r="AX59" i="60"/>
  <c r="AY59" i="60"/>
  <c r="AT58" i="60"/>
  <c r="AV58" i="60"/>
  <c r="AW58" i="60"/>
  <c r="AX58" i="60"/>
  <c r="AY58" i="60"/>
  <c r="AT57" i="60"/>
  <c r="AV57" i="60"/>
  <c r="AW57" i="60"/>
  <c r="AX57" i="60"/>
  <c r="AY57" i="60"/>
  <c r="AT56" i="60"/>
  <c r="AV56" i="60"/>
  <c r="AW56" i="60"/>
  <c r="AX56" i="60"/>
  <c r="AY56" i="60"/>
  <c r="AT55" i="60"/>
  <c r="AV55" i="60"/>
  <c r="AW55" i="60"/>
  <c r="AX55" i="60"/>
  <c r="AY55" i="60"/>
  <c r="AT54" i="60"/>
  <c r="AV54" i="60"/>
  <c r="AW54" i="60"/>
  <c r="AX54" i="60"/>
  <c r="AY54" i="60"/>
  <c r="AT53" i="60"/>
  <c r="AV53" i="60"/>
  <c r="AW53" i="60"/>
  <c r="AX53" i="60"/>
  <c r="AY53" i="60"/>
  <c r="AT52" i="60"/>
  <c r="AV52" i="60"/>
  <c r="AW52" i="60"/>
  <c r="AX52" i="60"/>
  <c r="AY52" i="60"/>
  <c r="AT51" i="60"/>
  <c r="AV51" i="60"/>
  <c r="AW51" i="60"/>
  <c r="AX51" i="60"/>
  <c r="AY51" i="60"/>
  <c r="AT50" i="60"/>
  <c r="AV50" i="60"/>
  <c r="AW50" i="60"/>
  <c r="AX50" i="60"/>
  <c r="AY50" i="60"/>
  <c r="AT49" i="60"/>
  <c r="AV49" i="60"/>
  <c r="AW49" i="60"/>
  <c r="AX49" i="60"/>
  <c r="AY49" i="60"/>
  <c r="AT48" i="60"/>
  <c r="AV48" i="60"/>
  <c r="AW48" i="60"/>
  <c r="AX48" i="60"/>
  <c r="AY48" i="60"/>
  <c r="AT47" i="60"/>
  <c r="AV47" i="60"/>
  <c r="AW47" i="60"/>
  <c r="AX47" i="60"/>
  <c r="AY47" i="60"/>
  <c r="AT46" i="60"/>
  <c r="AV46" i="60"/>
  <c r="AW46" i="60"/>
  <c r="AX46" i="60"/>
  <c r="AY46" i="60"/>
  <c r="AT45" i="60"/>
  <c r="AV45" i="60"/>
  <c r="AW45" i="60"/>
  <c r="AX45" i="60"/>
  <c r="AY45" i="60"/>
  <c r="AT44" i="60"/>
  <c r="AV44" i="60"/>
  <c r="AW44" i="60"/>
  <c r="AX44" i="60"/>
  <c r="AY44" i="60"/>
  <c r="AT43" i="60"/>
  <c r="AV43" i="60"/>
  <c r="AW43" i="60"/>
  <c r="AX43" i="60"/>
  <c r="AY43" i="60"/>
  <c r="AT42" i="60"/>
  <c r="AV42" i="60"/>
  <c r="AW42" i="60"/>
  <c r="AX42" i="60"/>
  <c r="AY42" i="60"/>
  <c r="AT41" i="60"/>
  <c r="AV41" i="60"/>
  <c r="AW41" i="60"/>
  <c r="AX41" i="60"/>
  <c r="AY41" i="60"/>
  <c r="AT40" i="60"/>
  <c r="AV40" i="60"/>
  <c r="AW40" i="60"/>
  <c r="AX40" i="60"/>
  <c r="AY40" i="60"/>
  <c r="AT39" i="60"/>
  <c r="AV39" i="60"/>
  <c r="AW39" i="60"/>
  <c r="AX39" i="60"/>
  <c r="AY39" i="60"/>
  <c r="AT38" i="60"/>
  <c r="AV38" i="60"/>
  <c r="AW38" i="60"/>
  <c r="AX38" i="60"/>
  <c r="AY38" i="60"/>
  <c r="AT37" i="60"/>
  <c r="AV37" i="60"/>
  <c r="AW37" i="60"/>
  <c r="AX37" i="60"/>
  <c r="AY37" i="60"/>
  <c r="O37" i="60"/>
  <c r="H37" i="60"/>
  <c r="AT36" i="60"/>
  <c r="AV36" i="60"/>
  <c r="AW36" i="60"/>
  <c r="AX36" i="60"/>
  <c r="AY36" i="60"/>
  <c r="AT35" i="60"/>
  <c r="AV35" i="60"/>
  <c r="AW35" i="60"/>
  <c r="AX35" i="60"/>
  <c r="AY35" i="60"/>
  <c r="AT33" i="60"/>
  <c r="AV33" i="60"/>
  <c r="AW33" i="60"/>
  <c r="AX33" i="60"/>
  <c r="AY33" i="60"/>
  <c r="W33" i="60"/>
  <c r="W31" i="60"/>
  <c r="AT30" i="60"/>
  <c r="AV30" i="60"/>
  <c r="AW30" i="60"/>
  <c r="AX30" i="60"/>
  <c r="AY30" i="60"/>
  <c r="W30" i="60"/>
  <c r="AT29" i="60"/>
  <c r="AV29" i="60"/>
  <c r="AW29" i="60"/>
  <c r="AX29" i="60"/>
  <c r="AY29" i="60"/>
  <c r="W29" i="60"/>
  <c r="AT28" i="60"/>
  <c r="AV28" i="60"/>
  <c r="AW28" i="60"/>
  <c r="AX28" i="60"/>
  <c r="AY28" i="60"/>
  <c r="G28" i="60"/>
  <c r="AT27" i="60"/>
  <c r="AV27" i="60"/>
  <c r="AW27" i="60"/>
  <c r="AX27" i="60"/>
  <c r="AY27" i="60"/>
  <c r="S27" i="60"/>
  <c r="W27" i="60"/>
  <c r="G27" i="60"/>
  <c r="AT26" i="60"/>
  <c r="AV26" i="60"/>
  <c r="AW26" i="60"/>
  <c r="AX26" i="60"/>
  <c r="AY26" i="60"/>
  <c r="W26" i="60"/>
  <c r="AT25" i="60"/>
  <c r="AV25" i="60"/>
  <c r="AW25" i="60"/>
  <c r="AX25" i="60"/>
  <c r="AY25" i="60"/>
  <c r="W25" i="60"/>
  <c r="W24" i="60"/>
  <c r="V19" i="60"/>
  <c r="T19" i="60"/>
  <c r="S19" i="60"/>
  <c r="V18" i="60"/>
  <c r="T18" i="60"/>
  <c r="S18" i="60"/>
  <c r="V17" i="60"/>
  <c r="T17" i="60"/>
  <c r="S17" i="60"/>
  <c r="V16" i="60"/>
  <c r="T16" i="60"/>
  <c r="S16" i="60"/>
  <c r="U11" i="60"/>
  <c r="AE6" i="60"/>
  <c r="AE8" i="60"/>
  <c r="BB5" i="60"/>
</calcChain>
</file>

<file path=xl/comments1.xml><?xml version="1.0" encoding="utf-8"?>
<comments xmlns="http://schemas.openxmlformats.org/spreadsheetml/2006/main">
  <authors>
    <author>Author</author>
  </authors>
  <commentList>
    <comment ref="B5" authorId="0">
      <text>
        <r>
          <rPr>
            <b/>
            <sz val="9"/>
            <color indexed="81"/>
            <rFont val="Tahoma"/>
            <family val="2"/>
          </rPr>
          <t xml:space="preserve">Holden: </t>
        </r>
        <r>
          <rPr>
            <sz val="9"/>
            <color indexed="81"/>
            <rFont val="Tahoma"/>
            <family val="2"/>
          </rPr>
          <t>My estimate is done in a different spirit from most other people's, I think. This year, I found it easier to err on the side of optimism and then apply my skepticism outside the estimate than to try to quantify all my skepticism. My ultimate estimate of how much better deworming is than cash transfers is more similar to others' than it appears.</t>
        </r>
      </text>
    </comment>
    <comment ref="B20" authorId="0">
      <text>
        <r>
          <rPr>
            <sz val="9"/>
            <color indexed="81"/>
            <rFont val="Tahoma"/>
            <family val="2"/>
          </rPr>
          <t>This uses the median of the inputs of staff to calculate the outputs.</t>
        </r>
      </text>
    </comment>
  </commentList>
</comments>
</file>

<file path=xl/comments10.xml><?xml version="1.0" encoding="utf-8"?>
<comments xmlns="http://schemas.openxmlformats.org/spreadsheetml/2006/main">
  <authors>
    <author>Author</author>
  </authors>
  <commentList>
    <comment ref="F7" authorId="0">
      <text>
        <r>
          <rPr>
            <sz val="9"/>
            <color indexed="81"/>
            <rFont val="Tahoma"/>
            <family val="2"/>
          </rPr>
          <t xml:space="preserve">The baseline prevalence (in 1998) for the first group to receive deworming treatment was significantly lower than the baseline prevalence (in 1999) for the second group to receive deworming treatment, plausibly due to an unusually strong El Nino. Given this, we believe the baseline prevalence from 1998 underestimates how much that group stood to benefit from deworming. </t>
        </r>
      </text>
    </comment>
    <comment ref="G7" authorId="0">
      <text>
        <r>
          <rPr>
            <b/>
            <sz val="9"/>
            <color indexed="81"/>
            <rFont val="Tahoma"/>
            <family val="2"/>
          </rPr>
          <t>Author:</t>
        </r>
        <r>
          <rPr>
            <sz val="9"/>
            <color indexed="81"/>
            <rFont val="Tahoma"/>
            <family val="2"/>
          </rPr>
          <t xml:space="preserve">
Using the smaller (.08 instead of .14) externality adjustment, compromise between using the odds ratio and simple ratio</t>
        </r>
      </text>
    </comment>
    <comment ref="I7" authorId="0">
      <text>
        <r>
          <rPr>
            <sz val="9"/>
            <color indexed="81"/>
            <rFont val="Tahoma"/>
            <family val="2"/>
          </rPr>
          <t>Adjustment for the possibility that worm prevalence in the treated area is less than in the area where Miguel and Kremer 2004 found benefits from deworming (in the first year, separate from any El Nino effect).</t>
        </r>
      </text>
    </comment>
    <comment ref="F8" authorId="0">
      <text>
        <r>
          <rPr>
            <sz val="9"/>
            <color indexed="81"/>
            <rFont val="Tahoma"/>
            <family val="2"/>
          </rPr>
          <t>Biomedical research often is not reliable. Enter your expected probability that the developmental impact found by Miguel and Kremer 2004 actually exists.</t>
        </r>
      </text>
    </comment>
    <comment ref="I8" authorId="0">
      <text>
        <r>
          <rPr>
            <sz val="9"/>
            <color indexed="81"/>
            <rFont val="Tahoma"/>
            <family val="2"/>
          </rPr>
          <t>Adjustment for the possibility that worm prevalence in the treated area is less than in the area where Miguel and Kremer 2004 found benefits from deworming (in the first year, separate from any El Nino effect).</t>
        </r>
      </text>
    </comment>
    <comment ref="L8" authorId="0">
      <text>
        <r>
          <rPr>
            <sz val="9"/>
            <color indexed="81"/>
            <rFont val="Tahoma"/>
            <family val="2"/>
          </rPr>
          <t>Biomedical research often is not reliable. Enter your expected probability that the IQ impact found by studies of iodine actually exists.</t>
        </r>
      </text>
    </comment>
    <comment ref="AD8" authorId="0">
      <text>
        <r>
          <rPr>
            <sz val="9"/>
            <color indexed="81"/>
            <rFont val="Tahoma"/>
            <family val="2"/>
          </rPr>
          <t>Conceptually, it should be consistent with other inputs, as we've derived here. This framing can be used as a spot check on the intuition for the other inputs.
How much are the developmental benefits of deworming (approximately a 25% increase in lifetime income, potentially supporting multiple people in a household) worth, relative to saving a life? One way to think about this figure is: one life saved is as good as how many people gaining the development benefits from deworming?
A high value for this column indicates a high value placed on income relative to DALYs/lives, which should correspond to a low value placed in the cell below, as putting a high value on income suggests that not relatively few years of increased income are equivalent to a DALY.</t>
        </r>
      </text>
    </comment>
    <comment ref="F9" authorId="0">
      <text>
        <r>
          <rPr>
            <sz val="9"/>
            <color indexed="81"/>
            <rFont val="Tahoma"/>
            <family val="2"/>
          </rPr>
          <t>Miguel and Kremer 2004 found benefits to future income after 2.41 years of treatment, but programs aim to deworm children for 10 years. Enter the proportion of those 10 years that you expect are helpful to children's development.</t>
        </r>
      </text>
    </comment>
    <comment ref="I9" authorId="0">
      <text>
        <r>
          <rPr>
            <sz val="9"/>
            <color indexed="81"/>
            <rFont val="Tahoma"/>
            <family val="2"/>
          </rPr>
          <t>Deworm the World may "leverage" donations by increasing the amount that governments spend on deworming. Enter the appropriate value for the extent to which you expect this to happen. 100% means that no leverage happens (i.e. that DtW funds are responsible for the same proportion of total impact as total funding), numbers above 100% assume leverage occurs, and numbers below 100% imply that leverage is working in reverse and Deworm the World is spending some money the government would have spent anyway.</t>
        </r>
      </text>
    </comment>
    <comment ref="L9" authorId="0">
      <text>
        <r>
          <rPr>
            <sz val="9"/>
            <color indexed="81"/>
            <rFont val="Tahoma"/>
            <family val="2"/>
          </rPr>
          <t>Studies of the effects of iodine may have taken place under particularly favorable conditions. Enter the fraction of the effect that those studies found that you expect in typical conditions.</t>
        </r>
      </text>
    </comment>
    <comment ref="C10" authorId="0">
      <text>
        <r>
          <rPr>
            <sz val="9"/>
            <color indexed="81"/>
            <rFont val="Tahoma"/>
            <family val="2"/>
          </rPr>
          <t>This is only applied to the proportion that is invested.</t>
        </r>
      </text>
    </comment>
    <comment ref="F10" authorId="0">
      <text>
        <r>
          <rPr>
            <sz val="9"/>
            <color indexed="81"/>
            <rFont val="Tahoma"/>
            <family val="2"/>
          </rPr>
          <t>Increasing ln(income) by one unit roughly doubles income, so one way to think about this number is: "how many years of roughly doubling one's income are equivalent to an extra healthy year of life (one DALY)?"</t>
        </r>
      </text>
    </comment>
    <comment ref="I10" authorId="0">
      <text>
        <r>
          <rPr>
            <sz val="9"/>
            <color indexed="81"/>
            <rFont val="Tahoma"/>
            <family val="2"/>
          </rPr>
          <t>SCI may "leverage" donations by increasing the amount that governments spend on deworming. Enter the appropriate value for the extent to which you expect this to happen. 100% means that no leverage happens (i.e. that SCI funds are responsible for the same proportion of total impact as total funding), numbers above 100% assume leverage occurs, and numbers below 100% imply that leverage is working in reverse and SCI is spending some money the government would have spent anyway.</t>
        </r>
      </text>
    </comment>
    <comment ref="L10" authorId="0">
      <text>
        <r>
          <rPr>
            <sz val="9"/>
            <color indexed="81"/>
            <rFont val="Tahoma"/>
            <family val="2"/>
          </rPr>
          <t>Enter the proportion by which you think ICCIDD/GAIN may leverage government funds for iodine fortification.</t>
        </r>
      </text>
    </comment>
    <comment ref="AB10" authorId="0">
      <text>
        <r>
          <rPr>
            <sz val="9"/>
            <color indexed="81"/>
            <rFont val="Tahoma"/>
            <family val="2"/>
          </rPr>
          <t>Enter "Yes" or "No"</t>
        </r>
      </text>
    </comment>
    <comment ref="F11" authorId="0">
      <text>
        <r>
          <rPr>
            <sz val="9"/>
            <color indexed="81"/>
            <rFont val="Tahoma"/>
            <family val="2"/>
          </rPr>
          <t>If a person treated for deworming earns more money and supports a family, then multiple people may have improved lives (via higher consumption) rather than just the person who was dewormed. (Similar to the cash transfer supporting the whole family rather than just the recipient.)
Enter the number of household members (including the person who received deworming treatment) who's consumption will be increased by the amount of income increase observed for the length of the income earners career. For example, if you expect the deworming recipient is the only wage earner and their household members will be dependent for their entire career, this is simply the number of household members, or if s/he earns half the household income, this is half the household members. A dependent only being in the household for half the career would suggest a smaller number (though greater than .5 given discounting). Other alternatives require similarly nuanced considerations.
We make the same assumption for benefits of iodine and for the development benefits from bednet coverage.</t>
        </r>
      </text>
    </comment>
    <comment ref="G11" authorId="0">
      <text>
        <r>
          <rPr>
            <b/>
            <sz val="9"/>
            <color indexed="81"/>
            <rFont val="Tahoma"/>
            <family val="2"/>
          </rPr>
          <t>Author:</t>
        </r>
        <r>
          <rPr>
            <sz val="9"/>
            <color indexed="81"/>
            <rFont val="Tahoma"/>
            <family val="2"/>
          </rPr>
          <t xml:space="preserve">
This is notable update from the past. 1 is consistent with how we've done it in the past, and higher numbers make deworming significantly better.</t>
        </r>
      </text>
    </comment>
    <comment ref="I11" authorId="0">
      <text>
        <r>
          <rPr>
            <sz val="9"/>
            <color indexed="81"/>
            <rFont val="Tahoma"/>
            <family val="2"/>
          </rPr>
          <t>See note on parameters sheet for explanation.</t>
        </r>
      </text>
    </comment>
    <comment ref="J11" authorId="0">
      <text>
        <r>
          <rPr>
            <b/>
            <sz val="9"/>
            <color indexed="81"/>
            <rFont val="Tahoma"/>
            <family val="2"/>
          </rPr>
          <t>Author:</t>
        </r>
        <r>
          <rPr>
            <sz val="9"/>
            <color indexed="81"/>
            <rFont val="Tahoma"/>
            <family val="2"/>
          </rPr>
          <t xml:space="preserve">
Highest value because problem is smaller in Africa where more treatments will be in the future</t>
        </r>
      </text>
    </comment>
    <comment ref="L11" authorId="0">
      <text>
        <r>
          <rPr>
            <sz val="9"/>
            <color indexed="81"/>
            <rFont val="Tahoma"/>
            <family val="2"/>
          </rPr>
          <t>There is some evidence that IQ increases fade out over time. Enter the proportion of the effect that you think actually persists over time.</t>
        </r>
      </text>
    </comment>
    <comment ref="L12" authorId="0">
      <text>
        <r>
          <rPr>
            <sz val="9"/>
            <color indexed="81"/>
            <rFont val="Tahoma"/>
            <family val="2"/>
          </rPr>
          <t>Enter the proportion of households that previously weren't getting iodized salt that now will as a result of national salt iodization.</t>
        </r>
      </text>
    </comment>
    <comment ref="F13" authorId="0">
      <text>
        <r>
          <rPr>
            <sz val="9"/>
            <color indexed="81"/>
            <rFont val="Tahoma"/>
            <family val="2"/>
          </rPr>
          <t>Our primary prevalence/intensity adjustment is based on comparing charities' current program areas to M&amp;K. We are unsure what the prevalence/intensity was in the areas where the short term health impacts were measured. This factor us used to re-calibrate the prevalence/intensity adjustment.
This should approximate the ratio of prevalence/intensity in areas of ST benefits relative to M&amp;K, so 1 means they were the same and &gt;1 implies that prevalence/intensity was lower in the areas of ST health benefits than in M&amp;K. (Setting this to the inverse of the input used for a charity's prevalence/intensity adjustment would mean that the charity is operating in areas comparable to the areas of the ST health benefits.)</t>
        </r>
      </text>
    </comment>
    <comment ref="L13" authorId="0">
      <text>
        <r>
          <rPr>
            <sz val="9"/>
            <color indexed="81"/>
            <rFont val="Tahoma"/>
            <family val="2"/>
          </rPr>
          <t>Enter the probability that GAIN or ICCIDD are causing salt iodization that wouldn't have happened anyway.</t>
        </r>
      </text>
    </comment>
    <comment ref="I14" authorId="0">
      <text>
        <r>
          <rPr>
            <sz val="9"/>
            <color indexed="81"/>
            <rFont val="Tahoma"/>
            <family val="2"/>
          </rPr>
          <t>The long term benefits of deworming likely only accrue to children. Short term health benefits likely impact both children and adults.</t>
        </r>
      </text>
    </comment>
    <comment ref="L14" authorId="0">
      <text>
        <r>
          <rPr>
            <sz val="9"/>
            <color indexed="81"/>
            <rFont val="Tahoma"/>
            <family val="2"/>
          </rPr>
          <t>Studies have found that iodine increases IQ, but it is possible that in developing countries increased IQ does not lead to actual improvements in quality of life. (E.g. Baird et al 2012 found no effect of deworming on non-wage earners, even though wage earners were better off, presumably do to some developmental, possibly mental, effects of deworming). Enter the percentage of children who's quality of life you expect will actually benefit from the effects of iodine.</t>
        </r>
      </text>
    </comment>
    <comment ref="I15" authorId="0">
      <text>
        <r>
          <rPr>
            <sz val="9"/>
            <color indexed="81"/>
            <rFont val="Tahoma"/>
            <family val="2"/>
          </rPr>
          <t xml:space="preserve">The long term benefits of deworming likely only accrue to children. Short term health benefits likely impact both children and adults. </t>
        </r>
      </text>
    </comment>
    <comment ref="L15" authorId="0">
      <text>
        <r>
          <rPr>
            <sz val="9"/>
            <color indexed="81"/>
            <rFont val="Tahoma"/>
            <family val="2"/>
          </rPr>
          <t>Note that studies of iodine have found increases in IQ, not wages. Here we use wages for comparison to deworming, relying on an assumption that there is a connection. Enter the expected increase in wages from having sufficient iodine throughout childhood (more specifically, the equivalent wage increase to the IQ benefit you expect).</t>
        </r>
      </text>
    </comment>
    <comment ref="I18" authorId="0">
      <text>
        <r>
          <rPr>
            <sz val="9"/>
            <color indexed="81"/>
            <rFont val="Tahoma"/>
            <family val="2"/>
          </rPr>
          <t>See note on parameters sheet for explanation.</t>
        </r>
      </text>
    </comment>
  </commentList>
</comments>
</file>

<file path=xl/comments11.xml><?xml version="1.0" encoding="utf-8"?>
<comments xmlns="http://schemas.openxmlformats.org/spreadsheetml/2006/main">
  <authors>
    <author>Author</author>
  </authors>
  <commentList>
    <comment ref="T5" authorId="0">
      <text>
        <r>
          <rPr>
            <b/>
            <sz val="9"/>
            <color indexed="81"/>
            <rFont val="Tahoma"/>
            <family val="2"/>
          </rPr>
          <t>Author:</t>
        </r>
        <r>
          <rPr>
            <sz val="9"/>
            <color indexed="81"/>
            <rFont val="Tahoma"/>
            <family val="2"/>
          </rPr>
          <t xml:space="preserve">
FYI, this is where formula has been updated for number of household members.</t>
        </r>
      </text>
    </comment>
    <comment ref="F7" authorId="0">
      <text>
        <r>
          <rPr>
            <sz val="9"/>
            <color indexed="81"/>
            <rFont val="Tahoma"/>
            <family val="2"/>
          </rPr>
          <t xml:space="preserve">The baseline prevalence (in 1998) for the first group to receive deworming treatment was significantly lower than the baseline prevalence (in 1999) for the second group to receive deworming treatment, plausibly due to an unusually strong El Nino. Given this, we believe the baseline prevalence from 1998 underestimates how much that group stood to benefit from deworming. </t>
        </r>
      </text>
    </comment>
    <comment ref="G7" authorId="0">
      <text>
        <r>
          <rPr>
            <b/>
            <sz val="10"/>
            <color indexed="81"/>
            <rFont val="Calibri"/>
            <family val="2"/>
          </rPr>
          <t>Author:</t>
        </r>
        <r>
          <rPr>
            <sz val="10"/>
            <color indexed="81"/>
            <rFont val="Calibri"/>
            <family val="2"/>
          </rPr>
          <t xml:space="preserve">
Odds ratio w/o positive externality adjustment.
</t>
        </r>
      </text>
    </comment>
    <comment ref="I7" authorId="0">
      <text>
        <r>
          <rPr>
            <sz val="9"/>
            <color indexed="81"/>
            <rFont val="Tahoma"/>
            <family val="2"/>
          </rPr>
          <t>Adjustment for the possibility that worm prevalence in the treated area is less than in the area where Miguel and Kremer 2004 found benefits from deworming (in the first year, separate from any El Nino effect).</t>
        </r>
      </text>
    </comment>
    <comment ref="J7" authorId="0">
      <text>
        <r>
          <rPr>
            <b/>
            <sz val="10"/>
            <color indexed="81"/>
            <rFont val="Calibri"/>
            <family val="2"/>
          </rPr>
          <t>Author:</t>
        </r>
        <r>
          <rPr>
            <sz val="10"/>
            <color indexed="81"/>
            <rFont val="Calibri"/>
            <family val="2"/>
          </rPr>
          <t xml:space="preserve">
Average of overall prevalence and overall intensity ratios (options 2 and 3 ).</t>
        </r>
      </text>
    </comment>
    <comment ref="F8" authorId="0">
      <text>
        <r>
          <rPr>
            <sz val="9"/>
            <color indexed="81"/>
            <rFont val="Tahoma"/>
            <family val="2"/>
          </rPr>
          <t>Biomedical research often is not reliable. Enter your expected probability that the developmental impact found by Miguel and Kremer 2004 actually exists.</t>
        </r>
      </text>
    </comment>
    <comment ref="G8" authorId="0">
      <text>
        <r>
          <rPr>
            <b/>
            <sz val="10"/>
            <color indexed="81"/>
            <rFont val="Calibri"/>
            <family val="2"/>
          </rPr>
          <t>Author:</t>
        </r>
        <r>
          <rPr>
            <sz val="10"/>
            <color indexed="81"/>
            <rFont val="Calibri"/>
            <family val="2"/>
          </rPr>
          <t xml:space="preserve">
Rough midpoint from Ioannidis, adjusted upward due to Croke
</t>
        </r>
      </text>
    </comment>
    <comment ref="I8" authorId="0">
      <text>
        <r>
          <rPr>
            <sz val="9"/>
            <color indexed="81"/>
            <rFont val="Tahoma"/>
            <family val="2"/>
          </rPr>
          <t>Adjustment for the possibility that worm prevalence in the treated area is less than in the area where Miguel and Kremer 2004 found benefits from deworming (in the first year, separate from any El Nino effect).</t>
        </r>
      </text>
    </comment>
    <comment ref="J8" authorId="0">
      <text>
        <r>
          <rPr>
            <b/>
            <sz val="10"/>
            <color indexed="81"/>
            <rFont val="Calibri"/>
            <family val="2"/>
          </rPr>
          <t>Author:</t>
        </r>
        <r>
          <rPr>
            <sz val="10"/>
            <color indexed="81"/>
            <rFont val="Calibri"/>
            <family val="2"/>
          </rPr>
          <t xml:space="preserve">
Average of overall prevalence and overall intensity ratios (options 2 and 3 ).
</t>
        </r>
      </text>
    </comment>
    <comment ref="L8" authorId="0">
      <text>
        <r>
          <rPr>
            <sz val="9"/>
            <color indexed="81"/>
            <rFont val="Tahoma"/>
            <family val="2"/>
          </rPr>
          <t>Biomedical research often is not reliable. Enter your expected probability that the IQ impact found by studies of iodine actually exists.</t>
        </r>
      </text>
    </comment>
    <comment ref="AD8" authorId="0">
      <text>
        <r>
          <rPr>
            <sz val="9"/>
            <color indexed="81"/>
            <rFont val="Tahoma"/>
            <family val="2"/>
          </rPr>
          <t>Conceptually, it should be consistent with other inputs, as we've derived here. This framing can be used as a spot check on the intuition for the other inputs.
How much are the developmental benefits of deworming (approximately a 25% increase in lifetime income, potentially supporting multiple people in a household) worth, relative to saving a life? One way to think about this figure is: one life saved is as good as how many people gaining the development benefits from deworming?
A high value for this column indicates a high value placed on income relative to DALYs/lives, which should correspond to a low value placed in the cell below, as putting a high value on income suggests that not relatively few years of increased income are equivalent to a DALY.</t>
        </r>
      </text>
    </comment>
    <comment ref="F9" authorId="0">
      <text>
        <r>
          <rPr>
            <sz val="9"/>
            <color indexed="81"/>
            <rFont val="Tahoma"/>
            <family val="2"/>
          </rPr>
          <t>Miguel and Kremer 2004 found benefits to future income after 2.41 years of treatment, but programs aim to deworm children for 10 years. Enter the proportion of those 10 years that you expect are helpful to children's development.</t>
        </r>
      </text>
    </comment>
    <comment ref="G9" authorId="0">
      <text>
        <r>
          <rPr>
            <b/>
            <sz val="10"/>
            <color indexed="81"/>
            <rFont val="Calibri"/>
            <family val="2"/>
          </rPr>
          <t>Author:</t>
        </r>
        <r>
          <rPr>
            <sz val="10"/>
            <color indexed="81"/>
            <rFont val="Calibri"/>
            <family val="2"/>
          </rPr>
          <t xml:space="preserve">
According to Baird, MK treatment group received ~ 4.1 years of deworming on average. Probably shouldn't expect that 2x this amount of deworming yields a 2x wage increase.
</t>
        </r>
      </text>
    </comment>
    <comment ref="I9" authorId="0">
      <text>
        <r>
          <rPr>
            <sz val="9"/>
            <color indexed="81"/>
            <rFont val="Tahoma"/>
            <family val="2"/>
          </rPr>
          <t>Deworm the World may "leverage" donations by increasing the amount that governments spend on deworming. Enter the appropriate value for the extent to which you expect this to happen. 100% means that no leverage happens (i.e. that DtW funds are responsible for the same proportion of total impact as total funding), numbers above 100% assume leverage occurs, and numbers below 100% imply that leverage is working in reverse and Deworm the World is spending some money the government would have spent anyway.</t>
        </r>
      </text>
    </comment>
    <comment ref="L9" authorId="0">
      <text>
        <r>
          <rPr>
            <sz val="9"/>
            <color indexed="81"/>
            <rFont val="Tahoma"/>
            <family val="2"/>
          </rPr>
          <t>Studies of the effects of iodine may have taken place under particularly favorable conditions. Enter the fraction of the effect that those studies found that you expect in typical conditions.</t>
        </r>
      </text>
    </comment>
    <comment ref="S9" authorId="0">
      <text>
        <r>
          <rPr>
            <b/>
            <sz val="9"/>
            <color indexed="81"/>
            <rFont val="Tahoma"/>
            <family val="2"/>
          </rPr>
          <t>Author:</t>
        </r>
        <r>
          <rPr>
            <sz val="9"/>
            <color indexed="81"/>
            <rFont val="Tahoma"/>
            <family val="2"/>
          </rPr>
          <t xml:space="preserve">
This now allows different prev/intensity adjustment applied to ST health benefits.
It also allows an the intuitive cap on the development benefits.</t>
        </r>
      </text>
    </comment>
    <comment ref="C10" authorId="0">
      <text>
        <r>
          <rPr>
            <sz val="9"/>
            <color indexed="81"/>
            <rFont val="Calibri"/>
            <family val="2"/>
          </rPr>
          <t>This is only applied to the proportion that is invested.</t>
        </r>
      </text>
    </comment>
    <comment ref="F10" authorId="0">
      <text>
        <r>
          <rPr>
            <sz val="9"/>
            <color indexed="81"/>
            <rFont val="Tahoma"/>
            <family val="2"/>
          </rPr>
          <t>Increasing ln(income) by one unit roughly doubles income, so one way to think about this number is: "how many years of roughly doubling one's income are equivalent to an extra healthy year of life (one DALY)?"</t>
        </r>
      </text>
    </comment>
    <comment ref="G10" authorId="0">
      <text>
        <r>
          <rPr>
            <b/>
            <sz val="10"/>
            <color indexed="81"/>
            <rFont val="Calibri"/>
            <family val="2"/>
          </rPr>
          <t>Author:</t>
        </r>
        <r>
          <rPr>
            <sz val="10"/>
            <color indexed="81"/>
            <rFont val="Calibri"/>
            <family val="2"/>
          </rPr>
          <t xml:space="preserve">
Conversion rate equal to 20 people receiving deworming benefit = 1 life saved</t>
        </r>
      </text>
    </comment>
    <comment ref="I10" authorId="0">
      <text>
        <r>
          <rPr>
            <sz val="9"/>
            <color indexed="81"/>
            <rFont val="Tahoma"/>
            <family val="2"/>
          </rPr>
          <t>SCI may "leverage" donations by increasing the amount that governments spend on deworming. Enter the appropriate value for the extent to which you expect this to happen. 100% means that no leverage happens (i.e. that SCI funds are responsible for the same proportion of total impact as total funding), numbers above 100% assume leverage occurs, and numbers below 100% imply that leverage is working in reverse and SCI is spending some money the government would have spent anyway.</t>
        </r>
      </text>
    </comment>
    <comment ref="L10" authorId="0">
      <text>
        <r>
          <rPr>
            <sz val="9"/>
            <color indexed="81"/>
            <rFont val="Tahoma"/>
            <family val="2"/>
          </rPr>
          <t>Enter the proportion by which you think ICCIDD/GAIN may leverage government funds for iodine fortification.</t>
        </r>
      </text>
    </comment>
    <comment ref="AB10" authorId="0">
      <text>
        <r>
          <rPr>
            <sz val="9"/>
            <color indexed="81"/>
            <rFont val="Tahoma"/>
            <family val="2"/>
          </rPr>
          <t>Enter "Yes" or "No"</t>
        </r>
      </text>
    </comment>
    <comment ref="F11" authorId="0">
      <text>
        <r>
          <rPr>
            <sz val="9"/>
            <color indexed="81"/>
            <rFont val="Tahoma"/>
            <family val="2"/>
          </rPr>
          <t>If a person treated for deworming earns more money and supports a family, then multiple people may have improved lives (via higher consumption) rather than just the person who was dewormed. (Similar to the cash transfer supporting the whole family rather than just the recipient.)
Enter the number of household members (including the person who received deworming treatment) who's consumption will be increased by the amount of income increase observed for the length of the income earners career. For example, if you expect the deworming recipient is the only wage earner and their household members will be dependent for their entire career, this is simply the number of household members, or if s/he earns half the household income, this is half the household members. A dependent only being in the household for half the career would suggest a smaller number (though greater than .5 given discounting). Other alternatives require similarly nuanced considerations.
We make the same assumption for benefits of iodine and for the development benefits from bednet coverage.</t>
        </r>
      </text>
    </comment>
    <comment ref="I11" authorId="0">
      <text>
        <r>
          <rPr>
            <sz val="9"/>
            <color indexed="81"/>
            <rFont val="Tahoma"/>
            <family val="2"/>
          </rPr>
          <t>See note on parameters sheet for explanation.</t>
        </r>
      </text>
    </comment>
    <comment ref="J11" authorId="0">
      <text>
        <r>
          <rPr>
            <b/>
            <sz val="10"/>
            <color indexed="81"/>
            <rFont val="Calibri"/>
            <family val="2"/>
          </rPr>
          <t>Author:</t>
        </r>
        <r>
          <rPr>
            <sz val="10"/>
            <color indexed="81"/>
            <rFont val="Calibri"/>
            <family val="2"/>
          </rPr>
          <t xml:space="preserve">
Adjusted upward because DtWi treats a higher proportion of children than MK did.
Slightly lower than the similar SCI adjustment due to Tim's treatment frequency concern, which only applies to STH treatment (i.e. only DtWi).
</t>
        </r>
      </text>
    </comment>
    <comment ref="L11" authorId="0">
      <text>
        <r>
          <rPr>
            <sz val="9"/>
            <color indexed="81"/>
            <rFont val="Tahoma"/>
            <family val="2"/>
          </rPr>
          <t>There is some evidence that IQ increases fade out over time. Enter the proportion of the effect that you think actually persists over time.</t>
        </r>
      </text>
    </comment>
    <comment ref="T11" authorId="0">
      <text>
        <r>
          <rPr>
            <b/>
            <sz val="9"/>
            <color indexed="81"/>
            <rFont val="Tahoma"/>
            <family val="2"/>
          </rPr>
          <t>Author:</t>
        </r>
        <r>
          <rPr>
            <sz val="9"/>
            <color indexed="81"/>
            <rFont val="Tahoma"/>
            <family val="2"/>
          </rPr>
          <t xml:space="preserve">
This allows an the intuitive cap on the development benefits.</t>
        </r>
      </text>
    </comment>
    <comment ref="L12" authorId="0">
      <text>
        <r>
          <rPr>
            <sz val="9"/>
            <color indexed="81"/>
            <rFont val="Tahoma"/>
            <family val="2"/>
          </rPr>
          <t>Enter the proportion of households that previously weren't getting iodized salt that now will as a result of national salt iodization.</t>
        </r>
      </text>
    </comment>
    <comment ref="F13" authorId="0">
      <text>
        <r>
          <rPr>
            <sz val="9"/>
            <color indexed="81"/>
            <rFont val="Tahoma"/>
            <family val="2"/>
          </rPr>
          <t>Our primary prevalence/intensity adjustment is based on comparing charities' current program areas to M&amp;K. We are unsure what the prevalence/intensity was in the areas where the short term health impacts were measured. This factor us used to re-calibrate the prevalence/intensity adjustment.
This should approximate the ratio of prevalence/intensity in areas of ST benefits relative to M&amp;K, so 1 means they were the same and &gt;1 implies that prevalence/intensity was lower in the areas of ST health benefits than in M&amp;K. (Setting this to the inverse of the input used for a charity's prevalence/intensity adjustment would mean that the charity is operating in areas comparable to the areas of the ST health benefits.)</t>
        </r>
      </text>
    </comment>
    <comment ref="L13" authorId="0">
      <text>
        <r>
          <rPr>
            <sz val="9"/>
            <color indexed="81"/>
            <rFont val="Tahoma"/>
            <family val="2"/>
          </rPr>
          <t>Enter the probability that GAIN or ICCIDD are causing salt iodization that wouldn't have happened anyway.</t>
        </r>
      </text>
    </comment>
    <comment ref="I14" authorId="0">
      <text>
        <r>
          <rPr>
            <sz val="9"/>
            <color indexed="81"/>
            <rFont val="Tahoma"/>
            <family val="2"/>
          </rPr>
          <t>The long term benefits of deworming likely only accrue to children. Short term health benefits likely impact both children and adults.</t>
        </r>
      </text>
    </comment>
    <comment ref="L14" authorId="0">
      <text>
        <r>
          <rPr>
            <sz val="9"/>
            <color indexed="81"/>
            <rFont val="Tahoma"/>
            <family val="2"/>
          </rPr>
          <t>Studies have found that iodine increases IQ, but it is possible that in developing countries increased IQ does not lead to actual improvements in quality of life. (E.g. Baird et al 2012 found no effect of deworming on non-wage earners, even though wage earners were better off, presumably do to some developmental, possibly mental, effects of deworming). Enter the percentage of children who's quality of life you expect will actually benefit from the effects of iodine.</t>
        </r>
      </text>
    </comment>
    <comment ref="I15" authorId="0">
      <text>
        <r>
          <rPr>
            <sz val="9"/>
            <color indexed="81"/>
            <rFont val="Tahoma"/>
            <family val="2"/>
          </rPr>
          <t xml:space="preserve">The long term benefits of deworming likely only accrue to children. Short term health benefits likely impact both children and adults. </t>
        </r>
      </text>
    </comment>
    <comment ref="L15" authorId="0">
      <text>
        <r>
          <rPr>
            <sz val="9"/>
            <color indexed="81"/>
            <rFont val="Tahoma"/>
            <family val="2"/>
          </rPr>
          <t>Note that studies of iodine have found increases in IQ, not wages. Here we use wages for comparison to deworming, relying on an assumption that there is a connection. Enter the expected increase in wages from having sufficient iodine throughout childhood (more specifically, the equivalent wage increase to the IQ benefit you expect).</t>
        </r>
      </text>
    </comment>
    <comment ref="G16" authorId="0">
      <text>
        <r>
          <rPr>
            <b/>
            <sz val="10"/>
            <color indexed="81"/>
            <rFont val="Calibri"/>
            <family val="2"/>
          </rPr>
          <t>Author:</t>
        </r>
        <r>
          <rPr>
            <sz val="10"/>
            <color indexed="81"/>
            <rFont val="Calibri"/>
            <family val="2"/>
          </rPr>
          <t xml:space="preserve">
Same length as cash returns.
</t>
        </r>
      </text>
    </comment>
    <comment ref="J16" authorId="0">
      <text>
        <r>
          <rPr>
            <b/>
            <sz val="10"/>
            <color indexed="81"/>
            <rFont val="Calibri"/>
            <family val="2"/>
          </rPr>
          <t>Author:</t>
        </r>
        <r>
          <rPr>
            <sz val="10"/>
            <color indexed="81"/>
            <rFont val="Calibri"/>
            <family val="2"/>
          </rPr>
          <t xml:space="preserve">
Includes drug costs, excludes govt time costs.
Adjusted upward by 15% to account for fungibility concern with dispensers for safe water.</t>
        </r>
      </text>
    </comment>
    <comment ref="J17" authorId="0">
      <text>
        <r>
          <rPr>
            <b/>
            <sz val="10"/>
            <color indexed="81"/>
            <rFont val="Calibri"/>
            <family val="2"/>
          </rPr>
          <t>Author:</t>
        </r>
        <r>
          <rPr>
            <sz val="10"/>
            <color indexed="81"/>
            <rFont val="Calibri"/>
            <family val="2"/>
          </rPr>
          <t xml:space="preserve">
Includes drug costs, excludes govt time costs.</t>
        </r>
      </text>
    </comment>
    <comment ref="I18" authorId="0">
      <text>
        <r>
          <rPr>
            <sz val="9"/>
            <color indexed="81"/>
            <rFont val="Tahoma"/>
            <family val="2"/>
          </rPr>
          <t>See note on parameters sheet for explanation.</t>
        </r>
      </text>
    </comment>
    <comment ref="J18" authorId="0">
      <text>
        <r>
          <rPr>
            <b/>
            <sz val="10"/>
            <color indexed="81"/>
            <rFont val="Calibri"/>
            <family val="2"/>
          </rPr>
          <t>Author:</t>
        </r>
        <r>
          <rPr>
            <sz val="10"/>
            <color indexed="81"/>
            <rFont val="Calibri"/>
            <family val="2"/>
          </rPr>
          <t xml:space="preserve">
Adjusted upward because SCI treats a higher proportion of children than MK treated.
</t>
        </r>
      </text>
    </comment>
    <comment ref="R21" authorId="0">
      <text>
        <r>
          <rPr>
            <b/>
            <sz val="9"/>
            <color indexed="81"/>
            <rFont val="Tahoma"/>
            <family val="2"/>
          </rPr>
          <t>Author:</t>
        </r>
        <r>
          <rPr>
            <sz val="9"/>
            <color indexed="81"/>
            <rFont val="Tahoma"/>
            <family val="2"/>
          </rPr>
          <t xml:space="preserve">
emphasizing conumption rather than income</t>
        </r>
      </text>
    </comment>
    <comment ref="S23" authorId="0">
      <text>
        <r>
          <rPr>
            <b/>
            <sz val="9"/>
            <color indexed="81"/>
            <rFont val="Tahoma"/>
            <family val="2"/>
          </rPr>
          <t>Author:</t>
        </r>
        <r>
          <rPr>
            <sz val="9"/>
            <color indexed="81"/>
            <rFont val="Tahoma"/>
            <family val="2"/>
          </rPr>
          <t xml:space="preserve">
Need further comment</t>
        </r>
      </text>
    </comment>
  </commentList>
</comments>
</file>

<file path=xl/comments12.xml><?xml version="1.0" encoding="utf-8"?>
<comments xmlns="http://schemas.openxmlformats.org/spreadsheetml/2006/main">
  <authors>
    <author>Author</author>
  </authors>
  <commentList>
    <comment ref="T5" authorId="0">
      <text>
        <r>
          <rPr>
            <b/>
            <sz val="9"/>
            <color indexed="81"/>
            <rFont val="Tahoma"/>
            <family val="2"/>
          </rPr>
          <t>Author:</t>
        </r>
        <r>
          <rPr>
            <sz val="9"/>
            <color indexed="81"/>
            <rFont val="Tahoma"/>
            <family val="2"/>
          </rPr>
          <t xml:space="preserve">
FYI, this is where formula has been updated for number of household members.</t>
        </r>
      </text>
    </comment>
    <comment ref="F7" authorId="0">
      <text>
        <r>
          <rPr>
            <sz val="9"/>
            <color indexed="81"/>
            <rFont val="Tahoma"/>
            <family val="2"/>
          </rPr>
          <t xml:space="preserve">The baseline prevalence (in 1998) for the first group to receive deworming treatment was significantly lower than the baseline prevalence (in 1999) for the second group to receive deworming treatment, plausibly due to an unusually strong El Nino. Given this, we believe the baseline prevalence from 1998 underestimates how much that group stood to benefit from deworming. </t>
        </r>
      </text>
    </comment>
    <comment ref="I7" authorId="0">
      <text>
        <r>
          <rPr>
            <sz val="9"/>
            <color indexed="81"/>
            <rFont val="Tahoma"/>
            <family val="2"/>
          </rPr>
          <t>Adjustment for the possibility that worm prevalence in the treated area is less than in the area where Miguel and Kremer 2004 found benefits from deworming (in the first year, separate from any El Nino effect).</t>
        </r>
      </text>
    </comment>
    <comment ref="F8" authorId="0">
      <text>
        <r>
          <rPr>
            <sz val="9"/>
            <color indexed="81"/>
            <rFont val="Tahoma"/>
            <family val="2"/>
          </rPr>
          <t>Biomedical research often is not reliable. Enter your expected probability that the developmental impact found by Miguel and Kremer 2004 actually exists.</t>
        </r>
      </text>
    </comment>
    <comment ref="I8" authorId="0">
      <text>
        <r>
          <rPr>
            <sz val="9"/>
            <color indexed="81"/>
            <rFont val="Tahoma"/>
            <family val="2"/>
          </rPr>
          <t>Adjustment for the possibility that worm prevalence in the treated area is less than in the area where Miguel and Kremer 2004 found benefits from deworming (in the first year, separate from any El Nino effect).</t>
        </r>
      </text>
    </comment>
    <comment ref="L8" authorId="0">
      <text>
        <r>
          <rPr>
            <sz val="9"/>
            <color indexed="81"/>
            <rFont val="Tahoma"/>
            <family val="2"/>
          </rPr>
          <t>Biomedical research often is not reliable. Enter your expected probability that the IQ impact found by studies of iodine actually exists.</t>
        </r>
      </text>
    </comment>
    <comment ref="AD8" authorId="0">
      <text>
        <r>
          <rPr>
            <sz val="9"/>
            <color indexed="81"/>
            <rFont val="Tahoma"/>
            <family val="2"/>
          </rPr>
          <t>Conceptually, it should be consistent with other inputs, as we've derived here. This framing can be used as a spot check on the intuition for the other inputs.
How much are the developmental benefits of deworming (approximately a 25% increase in lifetime income, potentially supporting multiple people in a household) worth, relative to saving a life? One way to think about this figure is: one life saved is as good as how many people gaining the development benefits from deworming?
A high value for this column indicates a high value placed on income relative to DALYs/lives, which should correspond to a low value placed in the cell below, as putting a high value on income suggests that not relatively few years of increased income are equivalent to a DALY.</t>
        </r>
      </text>
    </comment>
    <comment ref="F9" authorId="0">
      <text>
        <r>
          <rPr>
            <sz val="9"/>
            <color indexed="81"/>
            <rFont val="Tahoma"/>
            <family val="2"/>
          </rPr>
          <t>Miguel and Kremer 2004 found benefits to future income after 2.41 years of treatment, but programs aim to deworm children for 10 years. Enter the proportion of those 10 years that you expect are helpful to children's development.</t>
        </r>
      </text>
    </comment>
    <comment ref="I9" authorId="0">
      <text>
        <r>
          <rPr>
            <sz val="9"/>
            <color indexed="81"/>
            <rFont val="Tahoma"/>
            <family val="2"/>
          </rPr>
          <t>Deworm the World may "leverage" donations by increasing the amount that governments spend on deworming. Enter the appropriate value for the extent to which you expect this to happen. 100% means that no leverage happens (i.e. that DtW funds are responsible for the same proportion of total impact as total funding), numbers above 100% assume leverage occurs, and numbers below 100% imply that leverage is working in reverse and Deworm the World is spending some money the government would have spent anyway.</t>
        </r>
      </text>
    </comment>
    <comment ref="L9" authorId="0">
      <text>
        <r>
          <rPr>
            <sz val="9"/>
            <color indexed="81"/>
            <rFont val="Tahoma"/>
            <family val="2"/>
          </rPr>
          <t>Studies of the effects of iodine may have taken place under particularly favorable conditions. Enter the fraction of the effect that those studies found that you expect in typical conditions.</t>
        </r>
      </text>
    </comment>
    <comment ref="S9" authorId="0">
      <text>
        <r>
          <rPr>
            <b/>
            <sz val="9"/>
            <color indexed="81"/>
            <rFont val="Tahoma"/>
            <family val="2"/>
          </rPr>
          <t>Author:</t>
        </r>
        <r>
          <rPr>
            <sz val="9"/>
            <color indexed="81"/>
            <rFont val="Tahoma"/>
            <family val="2"/>
          </rPr>
          <t xml:space="preserve">
This now allows different prev/intensity adjustment applied to ST health benefits.
It also allows an the intuitive cap on the development benefits.</t>
        </r>
      </text>
    </comment>
    <comment ref="C10" authorId="0">
      <text>
        <r>
          <rPr>
            <sz val="9"/>
            <color indexed="81"/>
            <rFont val="Calibri"/>
            <family val="2"/>
          </rPr>
          <t>This is only applied to the proportion that is invested.</t>
        </r>
      </text>
    </comment>
    <comment ref="F10" authorId="0">
      <text>
        <r>
          <rPr>
            <sz val="9"/>
            <color indexed="81"/>
            <rFont val="Tahoma"/>
            <family val="2"/>
          </rPr>
          <t>Increasing ln(income) by one unit roughly doubles income, so one way to think about this number is: "how many years of roughly doubling one's income are equivalent to an extra healthy year of life (one DALY)?"</t>
        </r>
      </text>
    </comment>
    <comment ref="I10" authorId="0">
      <text>
        <r>
          <rPr>
            <sz val="9"/>
            <color indexed="81"/>
            <rFont val="Tahoma"/>
            <family val="2"/>
          </rPr>
          <t>SCI may "leverage" donations by increasing the amount that governments spend on deworming. Enter the appropriate value for the extent to which you expect this to happen. 100% means that no leverage happens (i.e. that SCI funds are responsible for the same proportion of total impact as total funding), numbers above 100% assume leverage occurs, and numbers below 100% imply that leverage is working in reverse and SCI is spending some money the government would have spent anyway.</t>
        </r>
      </text>
    </comment>
    <comment ref="L10" authorId="0">
      <text>
        <r>
          <rPr>
            <sz val="9"/>
            <color indexed="81"/>
            <rFont val="Tahoma"/>
            <family val="2"/>
          </rPr>
          <t>Enter the proportion by which you think ICCIDD/GAIN may leverage government funds for iodine fortification.</t>
        </r>
      </text>
    </comment>
    <comment ref="AB10" authorId="0">
      <text>
        <r>
          <rPr>
            <sz val="9"/>
            <color indexed="81"/>
            <rFont val="Tahoma"/>
            <family val="2"/>
          </rPr>
          <t>Enter "Yes" or "No"</t>
        </r>
      </text>
    </comment>
    <comment ref="F11" authorId="0">
      <text>
        <r>
          <rPr>
            <sz val="9"/>
            <color indexed="81"/>
            <rFont val="Tahoma"/>
            <family val="2"/>
          </rPr>
          <t>If a person treated for deworming earns more money and supports a family, then multiple people may have improved lives (via higher consumption) rather than just the person who was dewormed. (Similar to the cash transfer supporting the whole family rather than just the recipient.)
Enter the number of household members (including the person who received deworming treatment) who's consumption will be increased by the amount of income increase observed for the length of the income earners career. For example, if you expect the deworming recipient is the only wage earner and their household members will be dependent for their entire career, this is simply the number of household members, or if s/he earns half the household income, this is half the household members. A dependent only being in the household for half the career would suggest a smaller number (though greater than .5 given discounting). Other alternatives require similarly nuanced considerations.
We make the same assumption for benefits of iodine and for the development benefits from bednet coverage.</t>
        </r>
      </text>
    </comment>
    <comment ref="G11" authorId="0">
      <text>
        <r>
          <rPr>
            <b/>
            <sz val="9"/>
            <color indexed="81"/>
            <rFont val="Tahoma"/>
            <family val="2"/>
          </rPr>
          <t>Author:</t>
        </r>
        <r>
          <rPr>
            <sz val="9"/>
            <color indexed="81"/>
            <rFont val="Tahoma"/>
            <family val="2"/>
          </rPr>
          <t xml:space="preserve">
This is notable update from the past. 1 is consistent with how we've done it in the past, and higher numbers make deworming significantly better.</t>
        </r>
      </text>
    </comment>
    <comment ref="I11" authorId="0">
      <text>
        <r>
          <rPr>
            <sz val="9"/>
            <color indexed="81"/>
            <rFont val="Tahoma"/>
            <family val="2"/>
          </rPr>
          <t>See note on parameters sheet for explanation.</t>
        </r>
      </text>
    </comment>
    <comment ref="L11" authorId="0">
      <text>
        <r>
          <rPr>
            <sz val="9"/>
            <color indexed="81"/>
            <rFont val="Tahoma"/>
            <family val="2"/>
          </rPr>
          <t>There is some evidence that IQ increases fade out over time. Enter the proportion of the effect that you think actually persists over time.</t>
        </r>
      </text>
    </comment>
    <comment ref="T11" authorId="0">
      <text>
        <r>
          <rPr>
            <b/>
            <sz val="9"/>
            <color indexed="81"/>
            <rFont val="Tahoma"/>
            <family val="2"/>
          </rPr>
          <t>Author:</t>
        </r>
        <r>
          <rPr>
            <sz val="9"/>
            <color indexed="81"/>
            <rFont val="Tahoma"/>
            <family val="2"/>
          </rPr>
          <t xml:space="preserve">
This allows an the intuitive cap on the development benefits.</t>
        </r>
      </text>
    </comment>
    <comment ref="L12" authorId="0">
      <text>
        <r>
          <rPr>
            <sz val="9"/>
            <color indexed="81"/>
            <rFont val="Tahoma"/>
            <family val="2"/>
          </rPr>
          <t>Enter the proportion of households that previously weren't getting iodized salt that now will as a result of national salt iodization.</t>
        </r>
      </text>
    </comment>
    <comment ref="F13" authorId="0">
      <text>
        <r>
          <rPr>
            <sz val="9"/>
            <color indexed="81"/>
            <rFont val="Tahoma"/>
            <family val="2"/>
          </rPr>
          <t>Our primary prevalence/intensity adjustment is based on comparing charities' current program areas to M&amp;K. We are unsure what the prevalence/intensity was in the areas where the short term health impacts were measured. This factor us used to re-calibrate the prevalence/intensity adjustment.
This should approximate the ratio of prevalence/intensity in areas of ST benefits relative to M&amp;K, so 1 means they were the same and &gt;1 implies that prevalence/intensity was lower in the areas of ST health benefits than in M&amp;K. (Setting this to the inverse of the input used for a charity's prevalence/intensity adjustment would mean that the charity is operating in areas comparable to the areas of the ST health benefits.)</t>
        </r>
      </text>
    </comment>
    <comment ref="G13" authorId="0">
      <text>
        <r>
          <rPr>
            <b/>
            <sz val="9"/>
            <color indexed="81"/>
            <rFont val="Tahoma"/>
            <family val="2"/>
          </rPr>
          <t>Author:</t>
        </r>
        <r>
          <rPr>
            <sz val="9"/>
            <color indexed="81"/>
            <rFont val="Tahoma"/>
            <family val="2"/>
          </rPr>
          <t xml:space="preserve">
This is a new adjustment. We use this to weaken the prevalence adjustment applied to ST health benefits since we are unsure if the prevalence/intensity was as high where the ST health benefits were measured as M&amp;K.</t>
        </r>
      </text>
    </comment>
    <comment ref="L13" authorId="0">
      <text>
        <r>
          <rPr>
            <sz val="9"/>
            <color indexed="81"/>
            <rFont val="Tahoma"/>
            <family val="2"/>
          </rPr>
          <t>Enter the probability that GAIN or ICCIDD are causing salt iodization that wouldn't have happened anyway.</t>
        </r>
      </text>
    </comment>
    <comment ref="I14" authorId="0">
      <text>
        <r>
          <rPr>
            <sz val="9"/>
            <color indexed="81"/>
            <rFont val="Tahoma"/>
            <family val="2"/>
          </rPr>
          <t>The long term benefits of deworming likely only accrue to children. Short term health benefits likely impact both children and adults.</t>
        </r>
      </text>
    </comment>
    <comment ref="L14" authorId="0">
      <text>
        <r>
          <rPr>
            <sz val="9"/>
            <color indexed="81"/>
            <rFont val="Tahoma"/>
            <family val="2"/>
          </rPr>
          <t>Studies have found that iodine increases IQ, but it is possible that in developing countries increased IQ does not lead to actual improvements in quality of life. (E.g. Baird et al 2012 found no effect of deworming on non-wage earners, even though wage earners were better off, presumably do to some developmental, possibly mental, effects of deworming). Enter the percentage of children who's quality of life you expect will actually benefit from the effects of iodine.</t>
        </r>
      </text>
    </comment>
    <comment ref="I15" authorId="0">
      <text>
        <r>
          <rPr>
            <sz val="9"/>
            <color indexed="81"/>
            <rFont val="Tahoma"/>
            <family val="2"/>
          </rPr>
          <t xml:space="preserve">The long term benefits of deworming likely only accrue to children. Short term health benefits likely impact both children and adults. </t>
        </r>
      </text>
    </comment>
    <comment ref="L15" authorId="0">
      <text>
        <r>
          <rPr>
            <sz val="9"/>
            <color indexed="81"/>
            <rFont val="Tahoma"/>
            <family val="2"/>
          </rPr>
          <t>Note that studies of iodine have found increases in IQ, not wages. Here we use wages for comparison to deworming, relying on an assumption that there is a connection. Enter the expected increase in wages from having sufficient iodine throughout childhood (more specifically, the equivalent wage increase to the IQ benefit you expect).</t>
        </r>
      </text>
    </comment>
    <comment ref="I18" authorId="0">
      <text>
        <r>
          <rPr>
            <sz val="9"/>
            <color indexed="81"/>
            <rFont val="Tahoma"/>
            <family val="2"/>
          </rPr>
          <t>See note on parameters sheet for explanation.</t>
        </r>
      </text>
    </comment>
    <comment ref="M18" authorId="0">
      <text>
        <r>
          <rPr>
            <b/>
            <sz val="9"/>
            <color indexed="81"/>
            <rFont val="Tahoma"/>
            <family val="2"/>
          </rPr>
          <t>Author:</t>
        </r>
        <r>
          <rPr>
            <sz val="9"/>
            <color indexed="81"/>
            <rFont val="Tahoma"/>
            <family val="2"/>
          </rPr>
          <t xml:space="preserve">
Previously this was implicit in "cost per person-year of protection"</t>
        </r>
      </text>
    </comment>
    <comment ref="R21" authorId="0">
      <text>
        <r>
          <rPr>
            <b/>
            <sz val="9"/>
            <color indexed="81"/>
            <rFont val="Tahoma"/>
            <family val="2"/>
          </rPr>
          <t>Author:</t>
        </r>
        <r>
          <rPr>
            <sz val="9"/>
            <color indexed="81"/>
            <rFont val="Tahoma"/>
            <family val="2"/>
          </rPr>
          <t xml:space="preserve">
emphasizing conumption rather than income</t>
        </r>
      </text>
    </comment>
    <comment ref="S23" authorId="0">
      <text>
        <r>
          <rPr>
            <b/>
            <sz val="9"/>
            <color indexed="81"/>
            <rFont val="Tahoma"/>
            <family val="2"/>
          </rPr>
          <t>Author:</t>
        </r>
        <r>
          <rPr>
            <sz val="9"/>
            <color indexed="81"/>
            <rFont val="Tahoma"/>
            <family val="2"/>
          </rPr>
          <t xml:space="preserve">
Need further comment</t>
        </r>
      </text>
    </comment>
  </commentList>
</comments>
</file>

<file path=xl/comments13.xml><?xml version="1.0" encoding="utf-8"?>
<comments xmlns="http://schemas.openxmlformats.org/spreadsheetml/2006/main">
  <authors>
    <author>Author</author>
  </authors>
  <commentList>
    <comment ref="F7" authorId="0">
      <text>
        <r>
          <rPr>
            <sz val="9"/>
            <color indexed="81"/>
            <rFont val="Tahoma"/>
            <family val="2"/>
          </rPr>
          <t xml:space="preserve">The baseline prevalence (in 1998) for the first group to receive deworming treatment was significantly lower than the baseline prevalence (in 1999) for the second group to receive deworming treatment, plausibly due to an unusually strong El Nino. Given this, we believe the baseline prevalence from 1998 underestimates how much that group stood to benefit from deworming. </t>
        </r>
      </text>
    </comment>
    <comment ref="I7" authorId="0">
      <text>
        <r>
          <rPr>
            <sz val="9"/>
            <color indexed="81"/>
            <rFont val="Tahoma"/>
            <family val="2"/>
          </rPr>
          <t>Adjustment for the possibility that worm prevalence in the treated area is less than in the area where Miguel and Kremer 2004 found benefits from deworming (in the first year, separate from any El Nino effect).</t>
        </r>
      </text>
    </comment>
    <comment ref="F8" authorId="0">
      <text>
        <r>
          <rPr>
            <sz val="9"/>
            <color indexed="81"/>
            <rFont val="Tahoma"/>
            <family val="2"/>
          </rPr>
          <t>Biomedical research often is not reliable. Enter your expected probability that the developmental impact found by Miguel and Kremer 2004 actually exists.</t>
        </r>
      </text>
    </comment>
    <comment ref="I8" authorId="0">
      <text>
        <r>
          <rPr>
            <sz val="9"/>
            <color indexed="81"/>
            <rFont val="Tahoma"/>
            <family val="2"/>
          </rPr>
          <t>Adjustment for the possibility that worm prevalence in the treated area is less than in the area where Miguel and Kremer 2004 found benefits from deworming (in the first year, separate from any El Nino effect).</t>
        </r>
      </text>
    </comment>
    <comment ref="L8" authorId="0">
      <text>
        <r>
          <rPr>
            <sz val="9"/>
            <color indexed="81"/>
            <rFont val="Tahoma"/>
            <family val="2"/>
          </rPr>
          <t>Biomedical research often is not reliable. Enter your expected probability that the IQ impact found by studies of iodine actually exists.</t>
        </r>
      </text>
    </comment>
    <comment ref="AD8" authorId="0">
      <text>
        <r>
          <rPr>
            <sz val="9"/>
            <color indexed="81"/>
            <rFont val="Tahoma"/>
            <family val="2"/>
          </rPr>
          <t>Conceptually, it should be consistent with other inputs, as we've derived here. This framing can be used as a spot check on the intuition for the other inputs.
How much are the developmental benefits of deworming (approximately a 25% increase in lifetime income, potentially supporting multiple people in a household) worth, relative to saving a life? One way to think about this figure is: one life saved is as good as how many people gaining the development benefits from deworming?
A high value for this column indicates a high value placed on income relative to DALYs/lives, which should correspond to a low value placed in the cell below, as putting a high value on income suggests that not relatively few years of increased income are equivalent to a DALY.</t>
        </r>
      </text>
    </comment>
    <comment ref="F9" authorId="0">
      <text>
        <r>
          <rPr>
            <sz val="9"/>
            <color indexed="81"/>
            <rFont val="Tahoma"/>
            <family val="2"/>
          </rPr>
          <t>Miguel and Kremer 2004 found benefits to future income after 2.41 years of treatment, but programs aim to deworm children for 10 years. Enter the proportion of those 10 years that you expect are helpful to children's development.</t>
        </r>
      </text>
    </comment>
    <comment ref="I9" authorId="0">
      <text>
        <r>
          <rPr>
            <sz val="9"/>
            <color indexed="81"/>
            <rFont val="Tahoma"/>
            <family val="2"/>
          </rPr>
          <t>Deworm the World may "leverage" donations by increasing the amount that governments spend on deworming. Enter the appropriate value for the extent to which you expect this to happen. 100% means that no leverage happens (i.e. that DtW funds are responsible for the same proportion of total impact as total funding), numbers above 100% assume leverage occurs, and numbers below 100% imply that leverage is working in reverse and Deworm the World is spending some money the government would have spent anyway.</t>
        </r>
      </text>
    </comment>
    <comment ref="L9" authorId="0">
      <text>
        <r>
          <rPr>
            <sz val="9"/>
            <color indexed="81"/>
            <rFont val="Tahoma"/>
            <family val="2"/>
          </rPr>
          <t>Studies of the effects of iodine may have taken place under particularly favorable conditions. Enter the fraction of the effect that those studies found that you expect in typical conditions.</t>
        </r>
      </text>
    </comment>
    <comment ref="C10" authorId="0">
      <text>
        <r>
          <rPr>
            <sz val="9"/>
            <color indexed="81"/>
            <rFont val="Tahoma"/>
            <family val="2"/>
          </rPr>
          <t>This is only applied to the proportion that is invested.</t>
        </r>
      </text>
    </comment>
    <comment ref="F10" authorId="0">
      <text>
        <r>
          <rPr>
            <sz val="9"/>
            <color indexed="81"/>
            <rFont val="Tahoma"/>
            <family val="2"/>
          </rPr>
          <t>Increasing ln(income) by one unit roughly doubles income, so one way to think about this number is: "how many years of roughly doubling one's income are equivalent to an extra healthy year of life (one DALY)?"</t>
        </r>
      </text>
    </comment>
    <comment ref="I10" authorId="0">
      <text>
        <r>
          <rPr>
            <sz val="9"/>
            <color indexed="81"/>
            <rFont val="Tahoma"/>
            <family val="2"/>
          </rPr>
          <t>SCI may "leverage" donations by increasing the amount that governments spend on deworming. Enter the appropriate value for the extent to which you expect this to happen. 100% means that no leverage happens (i.e. that SCI funds are responsible for the same proportion of total impact as total funding), numbers above 100% assume leverage occurs, and numbers below 100% imply that leverage is working in reverse and SCI is spending some money the government would have spent anyway.</t>
        </r>
      </text>
    </comment>
    <comment ref="L10" authorId="0">
      <text>
        <r>
          <rPr>
            <sz val="9"/>
            <color indexed="81"/>
            <rFont val="Tahoma"/>
            <family val="2"/>
          </rPr>
          <t>Enter the proportion by which you think ICCIDD/GAIN may leverage government funds for iodine fortification.</t>
        </r>
      </text>
    </comment>
    <comment ref="AB10" authorId="0">
      <text>
        <r>
          <rPr>
            <sz val="9"/>
            <color indexed="81"/>
            <rFont val="Tahoma"/>
            <family val="2"/>
          </rPr>
          <t>Enter "Yes" or "No"</t>
        </r>
      </text>
    </comment>
    <comment ref="F11" authorId="0">
      <text>
        <r>
          <rPr>
            <sz val="9"/>
            <color indexed="81"/>
            <rFont val="Tahoma"/>
            <family val="2"/>
          </rPr>
          <t>If a person treated for deworming earns more money and supports a family, then multiple people may have improved lives (via higher consumption) rather than just the person who was dewormed. (Similar to the cash transfer supporting the whole family rather than just the recipient.)
Enter the number of household members (including the person who received deworming treatment) who's consumption will be increased by the amount of income increase observed for the length of the income earners career. For example, if you expect the deworming recipient is the only wage earner and their household members will be dependent for their entire career, this is simply the number of household members, or if s/he earns half the household income, this is half the household members. A dependent only being in the household for half the career would suggest a smaller number (though greater than .5 given discounting). Other alternatives require similarly nuanced considerations.
We make the same assumption for benefits of iodine and for the development benefits from bednet coverage.</t>
        </r>
      </text>
    </comment>
    <comment ref="I11" authorId="0">
      <text>
        <r>
          <rPr>
            <sz val="9"/>
            <color indexed="81"/>
            <rFont val="Tahoma"/>
            <family val="2"/>
          </rPr>
          <t>See note on parameters sheet for explanation.</t>
        </r>
      </text>
    </comment>
    <comment ref="L11" authorId="0">
      <text>
        <r>
          <rPr>
            <sz val="9"/>
            <color indexed="81"/>
            <rFont val="Tahoma"/>
            <family val="2"/>
          </rPr>
          <t>There is some evidence that IQ increases fade out over time. Enter the proportion of the effect that you think actually persists over time.</t>
        </r>
      </text>
    </comment>
    <comment ref="L12" authorId="0">
      <text>
        <r>
          <rPr>
            <sz val="9"/>
            <color indexed="81"/>
            <rFont val="Tahoma"/>
            <family val="2"/>
          </rPr>
          <t>Enter the proportion of households that previously weren't getting iodized salt that now will as a result of national salt iodization.</t>
        </r>
      </text>
    </comment>
    <comment ref="F13" authorId="0">
      <text>
        <r>
          <rPr>
            <sz val="9"/>
            <color indexed="81"/>
            <rFont val="Tahoma"/>
            <family val="2"/>
          </rPr>
          <t>Our primary prevalence/intensity adjustment is based on comparing charities' current program areas to M&amp;K. We are unsure what the prevalence/intensity was in the areas where the short term health impacts were measured. This factor us used to re-calibrate the prevalence/intensity adjustment.
This should approximate the ratio of prevalence/intensity in areas of ST benefits relative to M&amp;K, so 1 means they were the same and &gt;1 implies that prevalence/intensity was lower in the areas of ST health benefits than in M&amp;K. (Setting this to the inverse of the input used for a charity's prevalence/intensity adjustment would mean that the charity is operating in areas comparable to the areas of the ST health benefits.)</t>
        </r>
      </text>
    </comment>
    <comment ref="L13" authorId="0">
      <text>
        <r>
          <rPr>
            <sz val="9"/>
            <color indexed="81"/>
            <rFont val="Tahoma"/>
            <family val="2"/>
          </rPr>
          <t>Enter the probability that GAIN or ICCIDD are causing salt iodization that wouldn't have happened anyway.</t>
        </r>
      </text>
    </comment>
    <comment ref="I14" authorId="0">
      <text>
        <r>
          <rPr>
            <sz val="9"/>
            <color indexed="81"/>
            <rFont val="Tahoma"/>
            <family val="2"/>
          </rPr>
          <t>The long term benefits of deworming likely only accrue to children. Short term health benefits likely impact both children and adults.</t>
        </r>
      </text>
    </comment>
    <comment ref="L14" authorId="0">
      <text>
        <r>
          <rPr>
            <sz val="9"/>
            <color indexed="81"/>
            <rFont val="Tahoma"/>
            <family val="2"/>
          </rPr>
          <t>Studies have found that iodine increases IQ, but it is possible that in developing countries increased IQ does not lead to actual improvements in quality of life. (E.g. Baird et al 2012 found no effect of deworming on non-wage earners, even though wage earners were better off, presumably do to some developmental, possibly mental, effects of deworming). Enter the percentage of children who's quality of life you expect will actually benefit from the effects of iodine.</t>
        </r>
      </text>
    </comment>
    <comment ref="I15" authorId="0">
      <text>
        <r>
          <rPr>
            <sz val="9"/>
            <color indexed="81"/>
            <rFont val="Tahoma"/>
            <family val="2"/>
          </rPr>
          <t xml:space="preserve">The long term benefits of deworming likely only accrue to children. Short term health benefits likely impact both children and adults. </t>
        </r>
      </text>
    </comment>
    <comment ref="L15" authorId="0">
      <text>
        <r>
          <rPr>
            <sz val="9"/>
            <color indexed="81"/>
            <rFont val="Tahoma"/>
            <family val="2"/>
          </rPr>
          <t>Note that studies of iodine have found increases in IQ, not wages. Here we use wages for comparison to deworming, relying on an assumption that there is a connection. Enter the expected increase in wages from having sufficient iodine throughout childhood (more specifically, the equivalent wage increase to the IQ benefit you expect).</t>
        </r>
      </text>
    </comment>
    <comment ref="I18" authorId="0">
      <text>
        <r>
          <rPr>
            <sz val="9"/>
            <color indexed="81"/>
            <rFont val="Tahoma"/>
            <family val="2"/>
          </rPr>
          <t>See note on parameters sheet for explanation.</t>
        </r>
      </text>
    </comment>
  </commentList>
</comments>
</file>

<file path=xl/comments14.xml><?xml version="1.0" encoding="utf-8"?>
<comments xmlns="http://schemas.openxmlformats.org/spreadsheetml/2006/main">
  <authors>
    <author>Author</author>
  </authors>
  <commentList>
    <comment ref="R5" authorId="0">
      <text>
        <r>
          <rPr>
            <sz val="9"/>
            <color indexed="81"/>
            <rFont val="Tahoma"/>
            <family val="2"/>
          </rPr>
          <t>Edited from default model to assume 8 years instead of 10.</t>
        </r>
      </text>
    </comment>
    <comment ref="D7" authorId="0">
      <text>
        <r>
          <rPr>
            <b/>
            <sz val="9"/>
            <color indexed="81"/>
            <rFont val="Calibri"/>
            <family val="2"/>
          </rPr>
          <t>Author:</t>
        </r>
        <r>
          <rPr>
            <sz val="9"/>
            <color indexed="81"/>
            <rFont val="Calibri"/>
            <family val="2"/>
          </rPr>
          <t xml:space="preserve">
Approximate discount for compounding positive effects and uncertainty.  No substantial discount for returns on investment and no pure temporal discount.</t>
        </r>
      </text>
    </comment>
    <comment ref="F7" authorId="0">
      <text>
        <r>
          <rPr>
            <sz val="9"/>
            <color indexed="81"/>
            <rFont val="Tahoma"/>
            <family val="2"/>
          </rPr>
          <t xml:space="preserve">The baseline prevalence (in 1998) for the first group to receive deworming treatment was significantly lower than the baseline prevalence (in 1999) for the second group to receive deworming treatment, plausibly due to an unusually strong El Nino. Given this, we believe the baseline prevalence from 1998 underestimates how much that group stood to benefit from deworming. </t>
        </r>
      </text>
    </comment>
    <comment ref="G7" authorId="0">
      <text>
        <r>
          <rPr>
            <b/>
            <sz val="9"/>
            <color indexed="81"/>
            <rFont val="Calibri"/>
            <family val="2"/>
          </rPr>
          <t>Author:</t>
        </r>
        <r>
          <rPr>
            <sz val="9"/>
            <color indexed="81"/>
            <rFont val="Calibri"/>
            <family val="2"/>
          </rPr>
          <t xml:space="preserve">
The difference between prevalence in year one of Miguel and Kremer (see 'Sources Referenced' sheet) and year two, taking into account approximately half of the purported externality effect, since we believe the positive externality effect to be questionable and it is not taken into account elsewhere in the spreadsheet. (A slightly generous estimate here is intended to counteract lack of positive benefits of externalities included elsewhere in the spreadsheet.)
</t>
        </r>
      </text>
    </comment>
    <comment ref="I7" authorId="0">
      <text>
        <r>
          <rPr>
            <sz val="9"/>
            <color indexed="81"/>
            <rFont val="Tahoma"/>
            <family val="2"/>
          </rPr>
          <t>Adjustment for the possibility that worm prevalence in the treated area is less than in the area where Miguel and Kremer 2004 found benefits from deworming (in the first year, separate from any El Nino effect).</t>
        </r>
      </text>
    </comment>
    <comment ref="F8" authorId="0">
      <text>
        <r>
          <rPr>
            <sz val="9"/>
            <color indexed="81"/>
            <rFont val="Tahoma"/>
            <family val="2"/>
          </rPr>
          <t>Biomedical research often is not reliable. Enter your expected probability that the developmental impact found by Miguel and Kremer 2004 actually exists.</t>
        </r>
      </text>
    </comment>
    <comment ref="G8" authorId="0">
      <text>
        <r>
          <rPr>
            <b/>
            <sz val="9"/>
            <color indexed="81"/>
            <rFont val="Calibri"/>
            <family val="2"/>
          </rPr>
          <t>Author:</t>
        </r>
        <r>
          <rPr>
            <sz val="9"/>
            <color indexed="81"/>
            <rFont val="Calibri"/>
            <family val="2"/>
          </rPr>
          <t xml:space="preserve">
Lower end of Ioannidis 2005's theoretical replicability (see Parameters sheet) adjusted 10% upwards for Croke 2014. Lower end is taken since Miguel and Kremer result is extreme.
</t>
        </r>
      </text>
    </comment>
    <comment ref="I8" authorId="0">
      <text>
        <r>
          <rPr>
            <sz val="9"/>
            <color indexed="81"/>
            <rFont val="Tahoma"/>
            <family val="2"/>
          </rPr>
          <t>Adjustment for the possibility that worm prevalence in the treated area is less than in the area where Miguel and Kremer 2004 found benefits from deworming (in the first year, separate from any El Nino effect).</t>
        </r>
      </text>
    </comment>
    <comment ref="L8" authorId="0">
      <text>
        <r>
          <rPr>
            <sz val="9"/>
            <color indexed="81"/>
            <rFont val="Tahoma"/>
            <family val="2"/>
          </rPr>
          <t>Biomedical research often is not reliable. Enter your expected probability that the IQ impact found by studies of iodine actually exists.</t>
        </r>
      </text>
    </comment>
    <comment ref="AD8" authorId="0">
      <text>
        <r>
          <rPr>
            <sz val="9"/>
            <color indexed="81"/>
            <rFont val="Tahoma"/>
            <family val="2"/>
          </rPr>
          <t>Conceptually, it should be consistent with other inputs, as we've derived here. This framing can be used as a spot check on the intuition for the other inputs.
How much are the developmental benefits of deworming (approximately a 25% increase in lifetime income, potentially supporting multiple people in a household) worth, relative to saving a life? One way to think about this figure is: one life saved is as good as how many people gaining the development benefits from deworming?
A high value for this column indicates a high value placed on income relative to DALYs/lives, which should correspond to a low value placed in the cell below, as putting a high value on income suggests that not relatively few years of increased income are equivalent to a DALY.</t>
        </r>
      </text>
    </comment>
    <comment ref="F9" authorId="0">
      <text>
        <r>
          <rPr>
            <sz val="9"/>
            <color indexed="81"/>
            <rFont val="Tahoma"/>
            <family val="2"/>
          </rPr>
          <t>Miguel and Kremer 2004 found benefits to future income after 2.41 years of treatment, but programs aim to deworm children for 10 years. Enter the proportion of those 10 years that you expect are helpful to children's development.</t>
        </r>
      </text>
    </comment>
    <comment ref="I9" authorId="0">
      <text>
        <r>
          <rPr>
            <sz val="9"/>
            <color indexed="81"/>
            <rFont val="Tahoma"/>
            <family val="2"/>
          </rPr>
          <t>Deworm the World may "leverage" donations by increasing the amount that governments spend on deworming. Enter the appropriate value for the extent to which you expect this to happen. 100% means that no leverage happens (i.e. that DtW funds are responsible for the same proportion of total impact as total funding), numbers above 100% assume leverage occurs, and numbers below 100% imply that leverage is working in reverse and Deworm the World is spending some money the government would have spent anyway.</t>
        </r>
      </text>
    </comment>
    <comment ref="L9" authorId="0">
      <text>
        <r>
          <rPr>
            <sz val="9"/>
            <color indexed="81"/>
            <rFont val="Tahoma"/>
            <family val="2"/>
          </rPr>
          <t>Studies of the effects of iodine may have taken place under particularly favorable conditions. Enter the fraction of the effect that those studies found that you expect in typical conditions.</t>
        </r>
      </text>
    </comment>
    <comment ref="C10" authorId="0">
      <text>
        <r>
          <rPr>
            <sz val="9"/>
            <color indexed="81"/>
            <rFont val="Calibri"/>
            <family val="2"/>
          </rPr>
          <t>This is only applied to the proportion that is invested.</t>
        </r>
      </text>
    </comment>
    <comment ref="D10" authorId="0">
      <text>
        <r>
          <rPr>
            <b/>
            <sz val="9"/>
            <color indexed="81"/>
            <rFont val="Calibri"/>
            <family val="2"/>
          </rPr>
          <t>Author:</t>
        </r>
        <r>
          <rPr>
            <sz val="9"/>
            <color indexed="81"/>
            <rFont val="Calibri"/>
            <family val="2"/>
          </rPr>
          <t xml:space="preserve">
Approximate: Based on weighted calculated returns to investment on iron roofs and using the assumption that the eventual profits from all other investments give a 10% ROI (Hausofer and Shapiro show business profits on year after start of transfer as negligible and negative compared to the control group, so this assumes profit increases will occur in the long term). Encorporating a 80% external validity factor since it is unclear that for future transfers the recipients will buy iron roofs, which have a large ROI. 
Source: Haushofer and Shapiro Policy Brief 2013 https://www.princeton.edu/~joha/publications/Haushofer_Shapiro_Policy_Brief_2013.pdf
Price of iron roof and roof ROI pages 16-17, information on investments page 30, and information on agricultural and  business activities page 33.</t>
        </r>
      </text>
    </comment>
    <comment ref="F10" authorId="0">
      <text>
        <r>
          <rPr>
            <sz val="9"/>
            <color indexed="81"/>
            <rFont val="Tahoma"/>
            <family val="2"/>
          </rPr>
          <t>Increasing ln(income) by one unit roughly doubles income, so one way to think about this number is: "how many years of roughly doubling one's income are equivalent to an extra healthy year of life (one DALY)?"</t>
        </r>
      </text>
    </comment>
    <comment ref="I10" authorId="0">
      <text>
        <r>
          <rPr>
            <sz val="9"/>
            <color indexed="81"/>
            <rFont val="Tahoma"/>
            <family val="2"/>
          </rPr>
          <t>SCI may "leverage" donations by increasing the amount that governments spend on deworming. Enter the appropriate value for the extent to which you expect this to happen. 100% means that no leverage happens (i.e. that SCI funds are responsible for the same proportion of total impact as total funding), numbers above 100% assume leverage occurs, and numbers below 100% imply that leverage is working in reverse and SCI is spending some money the government would have spent anyway.</t>
        </r>
      </text>
    </comment>
    <comment ref="L10" authorId="0">
      <text>
        <r>
          <rPr>
            <sz val="9"/>
            <color indexed="81"/>
            <rFont val="Tahoma"/>
            <family val="2"/>
          </rPr>
          <t>Enter the proportion by which you think ICCIDD/GAIN may leverage government funds for iodine fortification.</t>
        </r>
      </text>
    </comment>
    <comment ref="AB10" authorId="0">
      <text>
        <r>
          <rPr>
            <sz val="9"/>
            <color indexed="81"/>
            <rFont val="Tahoma"/>
            <family val="2"/>
          </rPr>
          <t>Enter "Yes" or "No"</t>
        </r>
      </text>
    </comment>
    <comment ref="D11" authorId="0">
      <text>
        <r>
          <rPr>
            <b/>
            <sz val="9"/>
            <color indexed="81"/>
            <rFont val="Calibri"/>
            <family val="2"/>
          </rPr>
          <t>Author:</t>
        </r>
        <r>
          <rPr>
            <sz val="9"/>
            <color indexed="81"/>
            <rFont val="Calibri"/>
            <family val="2"/>
          </rPr>
          <t xml:space="preserve">
Approximate: Based on Hausofer and Shapiro 2013 Policy Brief, p. 30, calculation of additional expenditures for large transfers in iron roofs, livestock, non-durable goods, land, and half of business expenses since some may be counted in the above list (p. 33).  Multiplied by 80% for external validity, since future transfers might not be in areas where recipients buy iron roofs, and this encompasses a large portion of investment.
Source: Haushofer and Shapiro 2013 https://www.princeton.edu/~joha/publications/Haushofer_Shapiro_Policy_Brief_2013.pdf
Price of iron roof and roof ROI pages 16-17, information on investments page 30, and information on agricultural and  business activities page 33.</t>
        </r>
      </text>
    </comment>
    <comment ref="F11" authorId="0">
      <text>
        <r>
          <rPr>
            <sz val="9"/>
            <color indexed="81"/>
            <rFont val="Tahoma"/>
            <family val="2"/>
          </rPr>
          <t>If a person treated for deworming earns more money and supports a family, then multiple people may have improved lives (via higher consumption) rather than just the person who was dewormed. (Similar to the cash transfer supporting the whole family rather than just the recipient.)
Enter the number of household members (including the person who received deworming treatment) who's consumption will be increased by the amount of income increase observed for the length of the income earners career. For example, if you expect the deworming recipient is the only wage earner and their household members will be dependent for their entire career, this is simply the number of household members, or if s/he earns half the household income, this is half the household members. A dependent only being in the household for half the career would suggest a smaller number (though greater than .5 given discounting). Other alternatives require similarly nuanced considerations.
We make the same assumption for benefits of iodine and for the development benefits from bednet coverage.</t>
        </r>
      </text>
    </comment>
    <comment ref="G11" authorId="0">
      <text>
        <r>
          <rPr>
            <b/>
            <sz val="9"/>
            <color indexed="81"/>
            <rFont val="Calibri"/>
            <family val="2"/>
          </rPr>
          <t>Author:</t>
        </r>
        <r>
          <rPr>
            <sz val="9"/>
            <color indexed="81"/>
            <rFont val="Calibri"/>
            <family val="2"/>
          </rPr>
          <t xml:space="preserve">
Calculated by supposing there are 2.5 providers in each household, and averaging between measuring by recipient (instead of dividing the effect of a cash transfer equally among the household members, the benefit of a cash transfer is measured as a $1000 transfer to one recipient who is one out of 2.5 providers) and measuring by household members (instead of measuring benefits of deworming as one person's income  improved, deworming benefits are measured as if one of the 2.5 providers in a household of 5 has a 0.269 effect on income, and this affects all members of the household).  Multiplied by an 80% discount since cash transfer recipients may feel more pressure to share transfer.</t>
        </r>
      </text>
    </comment>
    <comment ref="I11" authorId="0">
      <text>
        <r>
          <rPr>
            <sz val="9"/>
            <color indexed="81"/>
            <rFont val="Tahoma"/>
            <family val="2"/>
          </rPr>
          <t>See note on parameters sheet for explanation.</t>
        </r>
      </text>
    </comment>
    <comment ref="J11" authorId="0">
      <text>
        <r>
          <rPr>
            <b/>
            <sz val="9"/>
            <color indexed="81"/>
            <rFont val="Calibri"/>
            <family val="2"/>
          </rPr>
          <t>Author:</t>
        </r>
        <r>
          <rPr>
            <sz val="9"/>
            <color indexed="81"/>
            <rFont val="Calibri"/>
            <family val="2"/>
          </rPr>
          <t xml:space="preserve">
The average of ‘any medical treatment’ in M&amp;K for years in which treatment was intended (0.78+0.59+0.73+0.55+0.71)/5 = 0.672.  This estimate takes half of the effect of the inverse of this average, and also takes into account the 77% suggested parameter (see parameters sheet for explanation).  (1/0.672 + 1)/2 * 0.77 = ~0.958</t>
        </r>
      </text>
    </comment>
    <comment ref="L11" authorId="0">
      <text>
        <r>
          <rPr>
            <sz val="9"/>
            <color indexed="81"/>
            <rFont val="Tahoma"/>
            <family val="2"/>
          </rPr>
          <t>There is some evidence that IQ increases fade out over time. Enter the proportion of the effect that you think actually persists over time.</t>
        </r>
      </text>
    </comment>
    <comment ref="T11" authorId="0">
      <text>
        <r>
          <rPr>
            <sz val="9"/>
            <color indexed="81"/>
            <rFont val="Tahoma"/>
            <family val="2"/>
          </rPr>
          <t>Edited from default model to account for Malaria health impacts.</t>
        </r>
      </text>
    </comment>
    <comment ref="L12" authorId="0">
      <text>
        <r>
          <rPr>
            <sz val="9"/>
            <color indexed="81"/>
            <rFont val="Tahoma"/>
            <family val="2"/>
          </rPr>
          <t>Enter the proportion of households that previously weren't getting iodized salt that now will as a result of national salt iodization.</t>
        </r>
      </text>
    </comment>
    <comment ref="F13" authorId="0">
      <text>
        <r>
          <rPr>
            <sz val="9"/>
            <color indexed="81"/>
            <rFont val="Tahoma"/>
            <family val="2"/>
          </rPr>
          <t>Our primary prevalence/intensity adjustment is based on comparing charities' current program areas to M&amp;K. We are unsure what the prevalence/intensity was in the areas where the short term health impacts were measured. This factor us used to re-calibrate the prevalence/intensity adjustment.
This should approximate the ratio of prevalence/intensity in areas of ST benefits relative to M&amp;K, so 1 means they were the same and &gt;1 implies that prevalence/intensity was lower in the areas of ST health benefits than in M&amp;K. (Setting this to the inverse of the input used for a charity's prevalence/intensity adjustment would mean that the charity is operating in areas comparable to the areas of the ST health benefits.)</t>
        </r>
      </text>
    </comment>
    <comment ref="L13" authorId="0">
      <text>
        <r>
          <rPr>
            <sz val="9"/>
            <color indexed="81"/>
            <rFont val="Tahoma"/>
            <family val="2"/>
          </rPr>
          <t>Enter the probability that GAIN or ICCIDD are causing salt iodization that wouldn't have happened anyway.</t>
        </r>
      </text>
    </comment>
    <comment ref="D14" authorId="0">
      <text>
        <r>
          <rPr>
            <b/>
            <sz val="9"/>
            <color indexed="81"/>
            <rFont val="Calibri"/>
            <family val="2"/>
          </rPr>
          <t>Author:</t>
        </r>
        <r>
          <rPr>
            <sz val="9"/>
            <color indexed="81"/>
            <rFont val="Calibri"/>
            <family val="2"/>
          </rPr>
          <t xml:space="preserve">
Estimated as number of years that household would not have had an iron roof without a transfer, or alternatively the average life-span of a cow.
</t>
        </r>
      </text>
    </comment>
    <comment ref="G14" authorId="0">
      <text>
        <r>
          <rPr>
            <b/>
            <sz val="9"/>
            <color indexed="81"/>
            <rFont val="Calibri"/>
            <family val="2"/>
          </rPr>
          <t>Author:</t>
        </r>
        <r>
          <rPr>
            <sz val="9"/>
            <color indexed="81"/>
            <rFont val="Calibri"/>
            <family val="2"/>
          </rPr>
          <t xml:space="preserve">
This might be conservative.
</t>
        </r>
      </text>
    </comment>
    <comment ref="I14" authorId="0">
      <text>
        <r>
          <rPr>
            <sz val="9"/>
            <color indexed="81"/>
            <rFont val="Tahoma"/>
            <family val="2"/>
          </rPr>
          <t>The long term benefits of deworming likely only accrue to children. Short term health benefits likely impact both children and adults.</t>
        </r>
      </text>
    </comment>
    <comment ref="L14" authorId="0">
      <text>
        <r>
          <rPr>
            <sz val="9"/>
            <color indexed="81"/>
            <rFont val="Tahoma"/>
            <family val="2"/>
          </rPr>
          <t>Studies have found that iodine increases IQ, but it is possible that in developing countries increased IQ does not lead to actual improvements in quality of life. (E.g. Baird et al 2012 found no effect of deworming on non-wage earners, even though wage earners were better off, presumably do to some developmental, possibly mental, effects of deworming). Enter the percentage of children who's quality of life you expect will actually benefit from the effects of iodine.</t>
        </r>
      </text>
    </comment>
    <comment ref="I15" authorId="0">
      <text>
        <r>
          <rPr>
            <sz val="9"/>
            <color indexed="81"/>
            <rFont val="Tahoma"/>
            <family val="2"/>
          </rPr>
          <t xml:space="preserve">The long term benefits of deworming likely only accrue to children. Short term health benefits likely impact both children and adults. </t>
        </r>
      </text>
    </comment>
    <comment ref="L15" authorId="0">
      <text>
        <r>
          <rPr>
            <sz val="9"/>
            <color indexed="81"/>
            <rFont val="Tahoma"/>
            <family val="2"/>
          </rPr>
          <t>Note that studies of iodine have found increases in IQ, not wages. Here we use wages for comparison to deworming, relying on an assumption that there is a connection. Enter the expected increase in wages from having sufficient iodine throughout childhood (more specifically, the equivalent wage increase to the IQ benefit you expect).</t>
        </r>
      </text>
    </comment>
    <comment ref="G16" authorId="0">
      <text>
        <r>
          <rPr>
            <b/>
            <sz val="9"/>
            <color indexed="81"/>
            <rFont val="Calibri"/>
            <family val="2"/>
          </rPr>
          <t>Author:</t>
        </r>
        <r>
          <rPr>
            <sz val="9"/>
            <color indexed="81"/>
            <rFont val="Calibri"/>
            <family val="2"/>
          </rPr>
          <t xml:space="preserve">
Conservative estimate of number of years worked.</t>
        </r>
      </text>
    </comment>
    <comment ref="I18" authorId="0">
      <text>
        <r>
          <rPr>
            <sz val="9"/>
            <color indexed="81"/>
            <rFont val="Tahoma"/>
            <family val="2"/>
          </rPr>
          <t>See note on parameters sheet for explanation.</t>
        </r>
      </text>
    </comment>
    <comment ref="J18" authorId="0">
      <text>
        <r>
          <rPr>
            <b/>
            <sz val="9"/>
            <color indexed="81"/>
            <rFont val="Calibri"/>
            <family val="2"/>
          </rPr>
          <t>Author:</t>
        </r>
        <r>
          <rPr>
            <sz val="9"/>
            <color indexed="81"/>
            <rFont val="Calibri"/>
            <family val="2"/>
          </rPr>
          <t xml:space="preserve">
The average of ‘any medical treatment’ in M&amp;K for years in which treatment was intended (0.78+0.59+0.73+0.55+0.71)/5 = 0.672.  This estimate takes half of the effect of the inverse of this average.=~1.244</t>
        </r>
      </text>
    </comment>
    <comment ref="M18" authorId="0">
      <text>
        <r>
          <rPr>
            <b/>
            <sz val="9"/>
            <color indexed="81"/>
            <rFont val="Calibri"/>
            <family val="2"/>
          </rPr>
          <t>Author:</t>
        </r>
        <r>
          <rPr>
            <sz val="9"/>
            <color indexed="81"/>
            <rFont val="Calibri"/>
            <family val="2"/>
          </rPr>
          <t xml:space="preserve">
Very rough: Based on bednets having stronger effects on hemoglobin, but potentially weaker effects on nutrition.</t>
        </r>
      </text>
    </comment>
  </commentList>
</comments>
</file>

<file path=xl/comments15.xml><?xml version="1.0" encoding="utf-8"?>
<comments xmlns="http://schemas.openxmlformats.org/spreadsheetml/2006/main">
  <authors>
    <author>Author</author>
  </authors>
  <commentList>
    <comment ref="F7" authorId="0">
      <text>
        <r>
          <rPr>
            <sz val="9"/>
            <color indexed="81"/>
            <rFont val="Tahoma"/>
            <family val="2"/>
          </rPr>
          <t xml:space="preserve">The baseline prevalence (in 1998) for the first group to receive deworming treatment was significantly lower than the baseline prevalence (in 1999) for the second group to receive deworming treatment, plausibly due to an unusually strong El Nino. Given this, we believe the baseline prevalence from 1998 underestimates how much that group stood to benefit from deworming. </t>
        </r>
      </text>
    </comment>
    <comment ref="I7" authorId="0">
      <text>
        <r>
          <rPr>
            <sz val="9"/>
            <color indexed="81"/>
            <rFont val="Tahoma"/>
            <family val="2"/>
          </rPr>
          <t>Adjustment for the possibility that worm prevalence in the treated area is less than in the area where Miguel and Kremer 2004 found benefits from deworming (in the first year, separate from any El Nino effect).</t>
        </r>
      </text>
    </comment>
    <comment ref="F8" authorId="0">
      <text>
        <r>
          <rPr>
            <sz val="9"/>
            <color indexed="81"/>
            <rFont val="Tahoma"/>
            <family val="2"/>
          </rPr>
          <t>Biomedical research often is not reliable. Enter your expected probability that the developmental impact found by Miguel and Kremer 2004 actually exists.</t>
        </r>
      </text>
    </comment>
    <comment ref="I8" authorId="0">
      <text>
        <r>
          <rPr>
            <sz val="9"/>
            <color indexed="81"/>
            <rFont val="Tahoma"/>
            <family val="2"/>
          </rPr>
          <t>Adjustment for the possibility that worm prevalence in the treated area is less than in the area where Miguel and Kremer 2004 found benefits from deworming (in the first year, separate from any El Nino effect).</t>
        </r>
      </text>
    </comment>
    <comment ref="L8" authorId="0">
      <text>
        <r>
          <rPr>
            <sz val="9"/>
            <color indexed="81"/>
            <rFont val="Tahoma"/>
            <family val="2"/>
          </rPr>
          <t>Biomedical research often is not reliable. Enter your expected probability that the IQ impact found by studies of iodine actually exists.</t>
        </r>
      </text>
    </comment>
    <comment ref="AD8" authorId="0">
      <text>
        <r>
          <rPr>
            <sz val="9"/>
            <color indexed="81"/>
            <rFont val="Tahoma"/>
            <family val="2"/>
          </rPr>
          <t>Conceptually, it should be consistent with other inputs, as we've derived here. This framing can be used as a spot check on the intuition for the other inputs.
How much are the developmental benefits of deworming (approximately a 25% increase in lifetime income, potentially supporting multiple people in a household) worth, relative to saving a life? One way to think about this figure is: one life saved is as good as how many people gaining the development benefits from deworming?
A high value for this column indicates a high value placed on income relative to DALYs/lives, which should correspond to a low value placed in the cell below, as putting a high value on income suggests that not relatively few years of increased income are equivalent to a DALY.</t>
        </r>
      </text>
    </comment>
    <comment ref="F9" authorId="0">
      <text>
        <r>
          <rPr>
            <sz val="9"/>
            <color indexed="81"/>
            <rFont val="Tahoma"/>
            <family val="2"/>
          </rPr>
          <t>Miguel and Kremer 2004 found benefits to future income after 2.41 years of treatment, but programs aim to deworm children for 10 years. Enter the proportion of those 10 years that you expect are helpful to children's development.</t>
        </r>
      </text>
    </comment>
    <comment ref="I9" authorId="0">
      <text>
        <r>
          <rPr>
            <sz val="9"/>
            <color indexed="81"/>
            <rFont val="Tahoma"/>
            <family val="2"/>
          </rPr>
          <t>Deworm the World may "leverage" donations by increasing the amount that governments spend on deworming. Enter the appropriate value for the extent to which you expect this to happen. 100% means that no leverage happens (i.e. that DtW funds are responsible for the same proportion of total impact as total funding), numbers above 100% assume leverage occurs, and numbers below 100% imply that leverage is working in reverse and Deworm the World is spending some money the government would have spent anyway.</t>
        </r>
      </text>
    </comment>
    <comment ref="L9" authorId="0">
      <text>
        <r>
          <rPr>
            <sz val="9"/>
            <color indexed="81"/>
            <rFont val="Tahoma"/>
            <family val="2"/>
          </rPr>
          <t>Studies of the effects of iodine may have taken place under particularly favorable conditions. Enter the fraction of the effect that those studies found that you expect in typical conditions.</t>
        </r>
      </text>
    </comment>
    <comment ref="C10" authorId="0">
      <text>
        <r>
          <rPr>
            <sz val="9"/>
            <color indexed="81"/>
            <rFont val="Tahoma"/>
            <family val="2"/>
          </rPr>
          <t>This is only applied to the proportion that is invested.</t>
        </r>
      </text>
    </comment>
    <comment ref="F10" authorId="0">
      <text>
        <r>
          <rPr>
            <sz val="9"/>
            <color indexed="81"/>
            <rFont val="Tahoma"/>
            <family val="2"/>
          </rPr>
          <t>Increasing ln(income) by one unit roughly doubles income, so one way to think about this number is: "how many years of roughly doubling one's income are equivalent to an extra healthy year of life (one DALY)?"</t>
        </r>
      </text>
    </comment>
    <comment ref="I10" authorId="0">
      <text>
        <r>
          <rPr>
            <sz val="9"/>
            <color indexed="81"/>
            <rFont val="Tahoma"/>
            <family val="2"/>
          </rPr>
          <t>SCI may "leverage" donations by increasing the amount that governments spend on deworming. Enter the appropriate value for the extent to which you expect this to happen. 100% means that no leverage happens (i.e. that SCI funds are responsible for the same proportion of total impact as total funding), numbers above 100% assume leverage occurs, and numbers below 100% imply that leverage is working in reverse and SCI is spending some money the government would have spent anyway.</t>
        </r>
      </text>
    </comment>
    <comment ref="L10" authorId="0">
      <text>
        <r>
          <rPr>
            <sz val="9"/>
            <color indexed="81"/>
            <rFont val="Tahoma"/>
            <family val="2"/>
          </rPr>
          <t>Enter the proportion by which you think ICCIDD/GAIN may leverage government funds for iodine fortification.</t>
        </r>
      </text>
    </comment>
    <comment ref="AB10" authorId="0">
      <text>
        <r>
          <rPr>
            <sz val="9"/>
            <color indexed="81"/>
            <rFont val="Tahoma"/>
            <family val="2"/>
          </rPr>
          <t>Enter "Yes" or "No"</t>
        </r>
      </text>
    </comment>
    <comment ref="F11" authorId="0">
      <text>
        <r>
          <rPr>
            <sz val="9"/>
            <color indexed="81"/>
            <rFont val="Tahoma"/>
            <family val="2"/>
          </rPr>
          <t>If a person treated for deworming earns more money and supports a family, then multiple people may have improved lives (via higher consumption) rather than just the person who was dewormed. (Similar to the cash transfer supporting the whole family rather than just the recipient.)
Enter the number of household members (including the person who received deworming treatment) who's consumption will be increased by the amount of income increase observed for the length of the income earners career. For example, if you expect the deworming recipient is the only wage earner and their household members will be dependent for their entire career, this is simply the number of household members, or if s/he earns half the household income, this is half the household members. A dependent only being in the household for half the career would suggest a smaller number (though greater than .5 given discounting). Other alternatives require similarly nuanced considerations.
We make the same assumption for benefits of iodine and for the development benefits from bednet coverage.</t>
        </r>
      </text>
    </comment>
    <comment ref="I11" authorId="0">
      <text>
        <r>
          <rPr>
            <sz val="9"/>
            <color indexed="81"/>
            <rFont val="Tahoma"/>
            <family val="2"/>
          </rPr>
          <t>See note on parameters sheet for explanation.</t>
        </r>
      </text>
    </comment>
    <comment ref="L11" authorId="0">
      <text>
        <r>
          <rPr>
            <sz val="9"/>
            <color indexed="81"/>
            <rFont val="Tahoma"/>
            <family val="2"/>
          </rPr>
          <t>There is some evidence that IQ increases fade out over time. Enter the proportion of the effect that you think actually persists over time.</t>
        </r>
      </text>
    </comment>
    <comment ref="L12" authorId="0">
      <text>
        <r>
          <rPr>
            <sz val="9"/>
            <color indexed="81"/>
            <rFont val="Tahoma"/>
            <family val="2"/>
          </rPr>
          <t>Enter the proportion of households that previously weren't getting iodized salt that now will as a result of national salt iodization.</t>
        </r>
      </text>
    </comment>
    <comment ref="F13" authorId="0">
      <text>
        <r>
          <rPr>
            <sz val="9"/>
            <color indexed="81"/>
            <rFont val="Tahoma"/>
            <family val="2"/>
          </rPr>
          <t>Our primary prevalence/intensity adjustment is based on comparing charities' current program areas to M&amp;K. We are unsure what the prevalence/intensity was in the areas where the short term health impacts were measured. This factor us used to re-calibrate the prevalence/intensity adjustment.
This should approximate the ratio of prevalence/intensity in areas of ST benefits relative to M&amp;K, so 1 means they were the same and &gt;1 implies that prevalence/intensity was lower in the areas of ST health benefits than in M&amp;K. (Setting this to the inverse of the input used for a charity's prevalence/intensity adjustment would mean that the charity is operating in areas comparable to the areas of the ST health benefits.)</t>
        </r>
      </text>
    </comment>
    <comment ref="L13" authorId="0">
      <text>
        <r>
          <rPr>
            <sz val="9"/>
            <color indexed="81"/>
            <rFont val="Tahoma"/>
            <family val="2"/>
          </rPr>
          <t>Enter the probability that GAIN or ICCIDD are causing salt iodization that wouldn't have happened anyway.</t>
        </r>
      </text>
    </comment>
    <comment ref="I14" authorId="0">
      <text>
        <r>
          <rPr>
            <sz val="9"/>
            <color indexed="81"/>
            <rFont val="Tahoma"/>
            <family val="2"/>
          </rPr>
          <t>The long term benefits of deworming likely only accrue to children. Short term health benefits likely impact both children and adults.</t>
        </r>
      </text>
    </comment>
    <comment ref="L14" authorId="0">
      <text>
        <r>
          <rPr>
            <sz val="9"/>
            <color indexed="81"/>
            <rFont val="Tahoma"/>
            <family val="2"/>
          </rPr>
          <t>Studies have found that iodine increases IQ, but it is possible that in developing countries increased IQ does not lead to actual improvements in quality of life. (E.g. Baird et al 2012 found no effect of deworming on non-wage earners, even though wage earners were better off, presumably do to some developmental, possibly mental, effects of deworming). Enter the percentage of children who's quality of life you expect will actually benefit from the effects of iodine.</t>
        </r>
      </text>
    </comment>
    <comment ref="I15" authorId="0">
      <text>
        <r>
          <rPr>
            <sz val="9"/>
            <color indexed="81"/>
            <rFont val="Tahoma"/>
            <family val="2"/>
          </rPr>
          <t xml:space="preserve">The long term benefits of deworming likely only accrue to children. Short term health benefits likely impact both children and adults. </t>
        </r>
      </text>
    </comment>
    <comment ref="L15" authorId="0">
      <text>
        <r>
          <rPr>
            <sz val="9"/>
            <color indexed="81"/>
            <rFont val="Tahoma"/>
            <family val="2"/>
          </rPr>
          <t>Note that studies of iodine have found increases in IQ, not wages. Here we use wages for comparison to deworming, relying on an assumption that there is a connection. Enter the expected increase in wages from having sufficient iodine throughout childhood (more specifically, the equivalent wage increase to the IQ benefit you expect).</t>
        </r>
      </text>
    </comment>
    <comment ref="I18" authorId="0">
      <text>
        <r>
          <rPr>
            <sz val="9"/>
            <color indexed="81"/>
            <rFont val="Tahoma"/>
            <family val="2"/>
          </rPr>
          <t>See note on parameters sheet for explanation.</t>
        </r>
      </text>
    </comment>
  </commentList>
</comments>
</file>

<file path=xl/comments16.xml><?xml version="1.0" encoding="utf-8"?>
<comments xmlns="http://schemas.openxmlformats.org/spreadsheetml/2006/main">
  <authors>
    <author>Author</author>
  </authors>
  <commentList>
    <comment ref="F7" authorId="0">
      <text>
        <r>
          <rPr>
            <sz val="9"/>
            <color indexed="81"/>
            <rFont val="Tahoma"/>
            <family val="2"/>
          </rPr>
          <t xml:space="preserve">The baseline prevalence (in 1998) for the first group to receive deworming treatment was significantly lower than the baseline prevalence (in 1999) for the second group to receive deworming treatment, plausibly due to an unusually strong El Nino. Given this, we believe the baseline prevalence from 1998 underestimates how much that group stood to benefit from deworming. </t>
        </r>
      </text>
    </comment>
    <comment ref="I7" authorId="0">
      <text>
        <r>
          <rPr>
            <sz val="9"/>
            <color indexed="81"/>
            <rFont val="Tahoma"/>
            <family val="2"/>
          </rPr>
          <t>Adjustment for the possibility that worm prevalence in the treated area is less than in the area where Miguel and Kremer 2004 found benefits from deworming (in the first year, separate from any El Nino effect).</t>
        </r>
      </text>
    </comment>
    <comment ref="F8" authorId="0">
      <text>
        <r>
          <rPr>
            <sz val="9"/>
            <color indexed="81"/>
            <rFont val="Tahoma"/>
            <family val="2"/>
          </rPr>
          <t>Biomedical research often is not reliable. Enter your expected probability that the developmental impact found by Miguel and Kremer 2004 actually exists.</t>
        </r>
      </text>
    </comment>
    <comment ref="I8" authorId="0">
      <text>
        <r>
          <rPr>
            <sz val="9"/>
            <color indexed="81"/>
            <rFont val="Tahoma"/>
            <family val="2"/>
          </rPr>
          <t>Adjustment for the possibility that worm prevalence in the treated area is less than in the area where Miguel and Kremer 2004 found benefits from deworming (in the first year, separate from any El Nino effect).</t>
        </r>
      </text>
    </comment>
    <comment ref="L8" authorId="0">
      <text>
        <r>
          <rPr>
            <sz val="9"/>
            <color indexed="81"/>
            <rFont val="Tahoma"/>
            <family val="2"/>
          </rPr>
          <t>Biomedical research often is not reliable. Enter your expected probability that the IQ impact found by studies of iodine actually exists.</t>
        </r>
      </text>
    </comment>
    <comment ref="AD8" authorId="0">
      <text>
        <r>
          <rPr>
            <sz val="9"/>
            <color indexed="81"/>
            <rFont val="Tahoma"/>
            <family val="2"/>
          </rPr>
          <t>Conceptually, it should be consistent with other inputs, as we've derived here. This framing can be used as a spot check on the intuition for the other inputs.
How much are the developmental benefits of deworming (approximately a 25% increase in lifetime income, potentially supporting multiple people in a household) worth, relative to saving a life? One way to think about this figure is: one life saved is as good as how many people gaining the development benefits from deworming?
A high value for this column indicates a high value placed on income relative to DALYs/lives, which should correspond to a low value placed in the cell below, as putting a high value on income suggests that not relatively few years of increased income are equivalent to a DALY.</t>
        </r>
      </text>
    </comment>
    <comment ref="F9" authorId="0">
      <text>
        <r>
          <rPr>
            <sz val="9"/>
            <color indexed="81"/>
            <rFont val="Tahoma"/>
            <family val="2"/>
          </rPr>
          <t>Miguel and Kremer 2004 found benefits to future income after 2.41 years of treatment, but programs aim to deworm children for 10 years. Enter the proportion of those 10 years that you expect are helpful to children's development.</t>
        </r>
      </text>
    </comment>
    <comment ref="I9" authorId="0">
      <text>
        <r>
          <rPr>
            <sz val="9"/>
            <color indexed="81"/>
            <rFont val="Tahoma"/>
            <family val="2"/>
          </rPr>
          <t>Deworm the World may "leverage" donations by increasing the amount that governments spend on deworming. Enter the appropriate value for the extent to which you expect this to happen. 100% means that no leverage happens (i.e. that DtW funds are responsible for the same proportion of total impact as total funding), numbers above 100% assume leverage occurs, and numbers below 100% imply that leverage is working in reverse and Deworm the World is spending some money the government would have spent anyway.</t>
        </r>
      </text>
    </comment>
    <comment ref="L9" authorId="0">
      <text>
        <r>
          <rPr>
            <sz val="9"/>
            <color indexed="81"/>
            <rFont val="Tahoma"/>
            <family val="2"/>
          </rPr>
          <t>Studies of the effects of iodine may have taken place under particularly favorable conditions. Enter the fraction of the effect that those studies found that you expect in typical conditions.</t>
        </r>
      </text>
    </comment>
    <comment ref="C10" authorId="0">
      <text>
        <r>
          <rPr>
            <sz val="9"/>
            <color indexed="81"/>
            <rFont val="Tahoma"/>
            <family val="2"/>
          </rPr>
          <t>This is only applied to the proportion that is invested.</t>
        </r>
      </text>
    </comment>
    <comment ref="F10" authorId="0">
      <text>
        <r>
          <rPr>
            <sz val="9"/>
            <color indexed="81"/>
            <rFont val="Tahoma"/>
            <family val="2"/>
          </rPr>
          <t>Increasing ln(income) by one unit roughly doubles income, so one way to think about this number is: "how many years of roughly doubling one's income are equivalent to an extra healthy year of life (one DALY)?"</t>
        </r>
      </text>
    </comment>
    <comment ref="I10" authorId="0">
      <text>
        <r>
          <rPr>
            <sz val="9"/>
            <color indexed="81"/>
            <rFont val="Tahoma"/>
            <family val="2"/>
          </rPr>
          <t>SCI may "leverage" donations by increasing the amount that governments spend on deworming. Enter the appropriate value for the extent to which you expect this to happen. 100% means that no leverage happens (i.e. that SCI funds are responsible for the same proportion of total impact as total funding), numbers above 100% assume leverage occurs, and numbers below 100% imply that leverage is working in reverse and SCI is spending some money the government would have spent anyway.</t>
        </r>
      </text>
    </comment>
    <comment ref="L10" authorId="0">
      <text>
        <r>
          <rPr>
            <sz val="9"/>
            <color indexed="81"/>
            <rFont val="Tahoma"/>
            <family val="2"/>
          </rPr>
          <t>Enter the proportion by which you think ICCIDD/GAIN may leverage government funds for iodine fortification.</t>
        </r>
      </text>
    </comment>
    <comment ref="AB10" authorId="0">
      <text>
        <r>
          <rPr>
            <sz val="9"/>
            <color indexed="81"/>
            <rFont val="Tahoma"/>
            <family val="2"/>
          </rPr>
          <t>Enter "Yes" or "No"</t>
        </r>
      </text>
    </comment>
    <comment ref="F11" authorId="0">
      <text>
        <r>
          <rPr>
            <sz val="9"/>
            <color indexed="81"/>
            <rFont val="Tahoma"/>
            <family val="2"/>
          </rPr>
          <t>If a person treated for deworming earns more money and supports a family, then multiple people may have improved lives (via higher consumption) rather than just the person who was dewormed. (Similar to the cash transfer supporting the whole family rather than just the recipient.)
Enter the number of household members (including the person who received deworming treatment) who's consumption will be increased by the amount of income increase observed for the length of the income earners career. For example, if you expect the deworming recipient is the only wage earner and their household members will be dependent for their entire career, this is simply the number of household members, or if s/he earns half the household income, this is half the household members. A dependent only being in the household for half the career would suggest a smaller number (though greater than .5 given discounting). Other alternatives require similarly nuanced considerations.
We make the same assumption for benefits of iodine and for the development benefits from bednet coverage.</t>
        </r>
      </text>
    </comment>
    <comment ref="I11" authorId="0">
      <text>
        <r>
          <rPr>
            <sz val="9"/>
            <color indexed="81"/>
            <rFont val="Tahoma"/>
            <family val="2"/>
          </rPr>
          <t>See note on parameters sheet for explanation.</t>
        </r>
      </text>
    </comment>
    <comment ref="L11" authorId="0">
      <text>
        <r>
          <rPr>
            <sz val="9"/>
            <color indexed="81"/>
            <rFont val="Tahoma"/>
            <family val="2"/>
          </rPr>
          <t>There is some evidence that IQ increases fade out over time. Enter the proportion of the effect that you think actually persists over time.</t>
        </r>
      </text>
    </comment>
    <comment ref="L12" authorId="0">
      <text>
        <r>
          <rPr>
            <sz val="9"/>
            <color indexed="81"/>
            <rFont val="Tahoma"/>
            <family val="2"/>
          </rPr>
          <t>Enter the proportion of households that previously weren't getting iodized salt that now will as a result of national salt iodization.</t>
        </r>
      </text>
    </comment>
    <comment ref="F13" authorId="0">
      <text>
        <r>
          <rPr>
            <sz val="9"/>
            <color indexed="81"/>
            <rFont val="Tahoma"/>
            <family val="2"/>
          </rPr>
          <t>Our primary prevalence/intensity adjustment is based on comparing charities' current program areas to M&amp;K. We are unsure what the prevalence/intensity was in the areas where the short term health impacts were measured. This factor us used to re-calibrate the prevalence/intensity adjustment.
This should approximate the ratio of prevalence/intensity in areas of ST benefits relative to M&amp;K, so 1 means they were the same and &gt;1 implies that prevalence/intensity was lower in the areas of ST health benefits than in M&amp;K. (Setting this to the inverse of the input used for a charity's prevalence/intensity adjustment would mean that the charity is operating in areas comparable to the areas of the ST health benefits.)</t>
        </r>
      </text>
    </comment>
    <comment ref="L13" authorId="0">
      <text>
        <r>
          <rPr>
            <sz val="9"/>
            <color indexed="81"/>
            <rFont val="Tahoma"/>
            <family val="2"/>
          </rPr>
          <t>Enter the probability that GAIN or ICCIDD are causing salt iodization that wouldn't have happened anyway.</t>
        </r>
      </text>
    </comment>
    <comment ref="I14" authorId="0">
      <text>
        <r>
          <rPr>
            <sz val="9"/>
            <color indexed="81"/>
            <rFont val="Tahoma"/>
            <family val="2"/>
          </rPr>
          <t>The long term benefits of deworming likely only accrue to children. Short term health benefits likely impact both children and adults.</t>
        </r>
      </text>
    </comment>
    <comment ref="L14" authorId="0">
      <text>
        <r>
          <rPr>
            <sz val="9"/>
            <color indexed="81"/>
            <rFont val="Tahoma"/>
            <family val="2"/>
          </rPr>
          <t>Studies have found that iodine increases IQ, but it is possible that in developing countries increased IQ does not lead to actual improvements in quality of life. (E.g. Baird et al 2012 found no effect of deworming on non-wage earners, even though wage earners were better off, presumably do to some developmental, possibly mental, effects of deworming). Enter the percentage of children who's quality of life you expect will actually benefit from the effects of iodine.</t>
        </r>
      </text>
    </comment>
    <comment ref="I15" authorId="0">
      <text>
        <r>
          <rPr>
            <sz val="9"/>
            <color indexed="81"/>
            <rFont val="Tahoma"/>
            <family val="2"/>
          </rPr>
          <t xml:space="preserve">The long term benefits of deworming likely only accrue to children. Short term health benefits likely impact both children and adults. </t>
        </r>
      </text>
    </comment>
    <comment ref="L15" authorId="0">
      <text>
        <r>
          <rPr>
            <sz val="9"/>
            <color indexed="81"/>
            <rFont val="Tahoma"/>
            <family val="2"/>
          </rPr>
          <t>Note that studies of iodine have found increases in IQ, not wages. Here we use wages for comparison to deworming, relying on an assumption that there is a connection. Enter the expected increase in wages from having sufficient iodine throughout childhood (more specifically, the equivalent wage increase to the IQ benefit you expect).</t>
        </r>
      </text>
    </comment>
    <comment ref="I18" authorId="0">
      <text>
        <r>
          <rPr>
            <sz val="9"/>
            <color indexed="81"/>
            <rFont val="Tahoma"/>
            <family val="2"/>
          </rPr>
          <t>See note on parameters sheet for explanation.</t>
        </r>
      </text>
    </comment>
  </commentList>
</comments>
</file>

<file path=xl/comments17.xml><?xml version="1.0" encoding="utf-8"?>
<comments xmlns="http://schemas.openxmlformats.org/spreadsheetml/2006/main">
  <authors>
    <author>Author</author>
  </authors>
  <commentList>
    <comment ref="F7" authorId="0">
      <text>
        <r>
          <rPr>
            <sz val="9"/>
            <color indexed="81"/>
            <rFont val="Tahoma"/>
            <family val="2"/>
          </rPr>
          <t xml:space="preserve">The baseline prevalence (in 1998) for the first group to receive deworming treatment was significantly lower than the baseline prevalence (in 1999) for the second group to receive deworming treatment, plausibly due to an unusually strong El Nino. Given this, we believe the baseline prevalence from 1998 underestimates how much that group stood to benefit from deworming. </t>
        </r>
      </text>
    </comment>
    <comment ref="I7" authorId="0">
      <text>
        <r>
          <rPr>
            <sz val="9"/>
            <color indexed="81"/>
            <rFont val="Tahoma"/>
            <family val="2"/>
          </rPr>
          <t>Adjustment for the possibility that worm prevalence in the treated area is less than in the area where Miguel and Kremer 2004 found benefits from deworming (in the first year, separate from any El Nino effect).</t>
        </r>
      </text>
    </comment>
    <comment ref="F8" authorId="0">
      <text>
        <r>
          <rPr>
            <sz val="9"/>
            <color indexed="81"/>
            <rFont val="Tahoma"/>
            <family val="2"/>
          </rPr>
          <t>Biomedical research often is not reliable. Enter your expected probability that the developmental impact found by Miguel and Kremer 2004 actually exists.</t>
        </r>
      </text>
    </comment>
    <comment ref="I8" authorId="0">
      <text>
        <r>
          <rPr>
            <sz val="9"/>
            <color indexed="81"/>
            <rFont val="Tahoma"/>
            <family val="2"/>
          </rPr>
          <t>Adjustment for the possibility that worm prevalence in the treated area is less than in the area where Miguel and Kremer 2004 found benefits from deworming (in the first year, separate from any El Nino effect).</t>
        </r>
      </text>
    </comment>
    <comment ref="L8" authorId="0">
      <text>
        <r>
          <rPr>
            <sz val="9"/>
            <color indexed="81"/>
            <rFont val="Tahoma"/>
            <family val="2"/>
          </rPr>
          <t>Biomedical research often is not reliable. Enter your expected probability that the IQ impact found by studies of iodine actually exists.</t>
        </r>
      </text>
    </comment>
    <comment ref="AD8" authorId="0">
      <text>
        <r>
          <rPr>
            <sz val="9"/>
            <color indexed="81"/>
            <rFont val="Tahoma"/>
            <family val="2"/>
          </rPr>
          <t>Conceptually, it should be consistent with other inputs, as we've derived here. This framing can be used as a spot check on the intuition for the other inputs.
How much are the developmental benefits of deworming (approximately a 25% increase in lifetime income, potentially supporting multiple people in a household) worth, relative to saving a life? One way to think about this figure is: one life saved is as good as how many people gaining the development benefits from deworming?
A high value for this column indicates a high value placed on income relative to DALYs/lives, which should correspond to a low value placed in the cell below, as putting a high value on income suggests that not relatively few years of increased income are equivalent to a DALY.</t>
        </r>
      </text>
    </comment>
    <comment ref="F9" authorId="0">
      <text>
        <r>
          <rPr>
            <sz val="9"/>
            <color indexed="81"/>
            <rFont val="Tahoma"/>
            <family val="2"/>
          </rPr>
          <t>Miguel and Kremer 2004 found benefits to future income after 2.41 years of treatment, but programs aim to deworm children for 10 years. Enter the proportion of those 10 years that you expect are helpful to children's development.</t>
        </r>
      </text>
    </comment>
    <comment ref="I9" authorId="0">
      <text>
        <r>
          <rPr>
            <sz val="9"/>
            <color indexed="81"/>
            <rFont val="Tahoma"/>
            <family val="2"/>
          </rPr>
          <t>Deworm the World may "leverage" donations by increasing the amount that governments spend on deworming. Enter the appropriate value for the extent to which you expect this to happen. 100% means that no leverage happens (i.e. that DtW funds are responsible for the same proportion of total impact as total funding), numbers above 100% assume leverage occurs, and numbers below 100% imply that leverage is working in reverse and Deworm the World is spending some money the government would have spent anyway.</t>
        </r>
      </text>
    </comment>
    <comment ref="L9" authorId="0">
      <text>
        <r>
          <rPr>
            <sz val="9"/>
            <color indexed="81"/>
            <rFont val="Tahoma"/>
            <family val="2"/>
          </rPr>
          <t>Studies of the effects of iodine may have taken place under particularly favorable conditions. Enter the fraction of the effect that those studies found that you expect in typical conditions.</t>
        </r>
      </text>
    </comment>
    <comment ref="C10" authorId="0">
      <text>
        <r>
          <rPr>
            <sz val="9"/>
            <color indexed="81"/>
            <rFont val="Tahoma"/>
            <family val="2"/>
          </rPr>
          <t>This is only applied to the proportion that is invested.</t>
        </r>
      </text>
    </comment>
    <comment ref="F10" authorId="0">
      <text>
        <r>
          <rPr>
            <sz val="9"/>
            <color indexed="81"/>
            <rFont val="Tahoma"/>
            <family val="2"/>
          </rPr>
          <t>Increasing ln(income) by one unit roughly doubles income, so one way to think about this number is: "how many years of roughly doubling one's income are equivalent to an extra healthy year of life (one DALY)?"</t>
        </r>
      </text>
    </comment>
    <comment ref="I10" authorId="0">
      <text>
        <r>
          <rPr>
            <sz val="9"/>
            <color indexed="81"/>
            <rFont val="Tahoma"/>
            <family val="2"/>
          </rPr>
          <t>SCI may "leverage" donations by increasing the amount that governments spend on deworming. Enter the appropriate value for the extent to which you expect this to happen. 100% means that no leverage happens (i.e. that SCI funds are responsible for the same proportion of total impact as total funding), numbers above 100% assume leverage occurs, and numbers below 100% imply that leverage is working in reverse and SCI is spending some money the government would have spent anyway.</t>
        </r>
      </text>
    </comment>
    <comment ref="L10" authorId="0">
      <text>
        <r>
          <rPr>
            <sz val="9"/>
            <color indexed="81"/>
            <rFont val="Tahoma"/>
            <family val="2"/>
          </rPr>
          <t>Enter the proportion by which you think ICCIDD/GAIN may leverage government funds for iodine fortification.</t>
        </r>
      </text>
    </comment>
    <comment ref="AB10" authorId="0">
      <text>
        <r>
          <rPr>
            <sz val="9"/>
            <color indexed="81"/>
            <rFont val="Tahoma"/>
            <family val="2"/>
          </rPr>
          <t>Enter "Yes" or "No"</t>
        </r>
      </text>
    </comment>
    <comment ref="F11" authorId="0">
      <text>
        <r>
          <rPr>
            <sz val="9"/>
            <color indexed="81"/>
            <rFont val="Tahoma"/>
            <family val="2"/>
          </rPr>
          <t>If a person treated for deworming earns more money and supports a family, then multiple people may have improved lives (via higher consumption) rather than just the person who was dewormed. (Similar to the cash transfer supporting the whole family rather than just the recipient.)
Enter the number of household members (including the person who received deworming treatment) who's consumption will be increased by the amount of income increase observed for the length of the income earners career. For example, if you expect the deworming recipient is the only wage earner and their household members will be dependent for their entire career, this is simply the number of household members, or if s/he earns half the household income, this is half the household members. A dependent only being in the household for half the career would suggest a smaller number (though greater than .5 given discounting). Other alternatives require similarly nuanced considerations.
We make the same assumption for benefits of iodine and for the development benefits from bednet coverage.</t>
        </r>
      </text>
    </comment>
    <comment ref="I11" authorId="0">
      <text>
        <r>
          <rPr>
            <sz val="9"/>
            <color indexed="81"/>
            <rFont val="Tahoma"/>
            <family val="2"/>
          </rPr>
          <t>See note on parameters sheet for explanation.</t>
        </r>
      </text>
    </comment>
    <comment ref="L11" authorId="0">
      <text>
        <r>
          <rPr>
            <sz val="9"/>
            <color indexed="81"/>
            <rFont val="Tahoma"/>
            <family val="2"/>
          </rPr>
          <t>There is some evidence that IQ increases fade out over time. Enter the proportion of the effect that you think actually persists over time.</t>
        </r>
      </text>
    </comment>
    <comment ref="L12" authorId="0">
      <text>
        <r>
          <rPr>
            <sz val="9"/>
            <color indexed="81"/>
            <rFont val="Tahoma"/>
            <family val="2"/>
          </rPr>
          <t>Enter the proportion of households that previously weren't getting iodized salt that now will as a result of national salt iodization.</t>
        </r>
      </text>
    </comment>
    <comment ref="F13" authorId="0">
      <text>
        <r>
          <rPr>
            <sz val="9"/>
            <color indexed="81"/>
            <rFont val="Tahoma"/>
            <family val="2"/>
          </rPr>
          <t>Our primary prevalence/intensity adjustment is based on comparing charities' current program areas to M&amp;K. We are unsure what the prevalence/intensity was in the areas where the short term health impacts were measured. This factor us used to re-calibrate the prevalence/intensity adjustment.
This should approximate the ratio of prevalence/intensity in areas of ST benefits relative to M&amp;K, so 1 means they were the same and &gt;1 implies that prevalence/intensity was lower in the areas of ST health benefits than in M&amp;K. (Setting this to the inverse of the input used for a charity's prevalence/intensity adjustment would mean that the charity is operating in areas comparable to the areas of the ST health benefits.)</t>
        </r>
      </text>
    </comment>
    <comment ref="L13" authorId="0">
      <text>
        <r>
          <rPr>
            <sz val="9"/>
            <color indexed="81"/>
            <rFont val="Tahoma"/>
            <family val="2"/>
          </rPr>
          <t>Enter the probability that GAIN or ICCIDD are causing salt iodization that wouldn't have happened anyway.</t>
        </r>
      </text>
    </comment>
    <comment ref="I14" authorId="0">
      <text>
        <r>
          <rPr>
            <sz val="9"/>
            <color indexed="81"/>
            <rFont val="Tahoma"/>
            <family val="2"/>
          </rPr>
          <t>The long term benefits of deworming likely only accrue to children. Short term health benefits likely impact both children and adults.</t>
        </r>
      </text>
    </comment>
    <comment ref="L14" authorId="0">
      <text>
        <r>
          <rPr>
            <sz val="9"/>
            <color indexed="81"/>
            <rFont val="Tahoma"/>
            <family val="2"/>
          </rPr>
          <t>Studies have found that iodine increases IQ, but it is possible that in developing countries increased IQ does not lead to actual improvements in quality of life. (E.g. Baird et al 2012 found no effect of deworming on non-wage earners, even though wage earners were better off, presumably do to some developmental, possibly mental, effects of deworming). Enter the percentage of children who's quality of life you expect will actually benefit from the effects of iodine.</t>
        </r>
      </text>
    </comment>
    <comment ref="I15" authorId="0">
      <text>
        <r>
          <rPr>
            <sz val="9"/>
            <color indexed="81"/>
            <rFont val="Tahoma"/>
            <family val="2"/>
          </rPr>
          <t xml:space="preserve">The long term benefits of deworming likely only accrue to children. Short term health benefits likely impact both children and adults. </t>
        </r>
      </text>
    </comment>
    <comment ref="L15" authorId="0">
      <text>
        <r>
          <rPr>
            <sz val="9"/>
            <color indexed="81"/>
            <rFont val="Tahoma"/>
            <family val="2"/>
          </rPr>
          <t>Note that studies of iodine have found increases in IQ, not wages. Here we use wages for comparison to deworming, relying on an assumption that there is a connection. Enter the expected increase in wages from having sufficient iodine throughout childhood (more specifically, the equivalent wage increase to the IQ benefit you expect).</t>
        </r>
      </text>
    </comment>
    <comment ref="I18" authorId="0">
      <text>
        <r>
          <rPr>
            <sz val="9"/>
            <color indexed="81"/>
            <rFont val="Tahoma"/>
            <family val="2"/>
          </rPr>
          <t>See note on parameters sheet for explanation.</t>
        </r>
      </text>
    </comment>
  </commentList>
</comments>
</file>

<file path=xl/comments18.xml><?xml version="1.0" encoding="utf-8"?>
<comments xmlns="http://schemas.openxmlformats.org/spreadsheetml/2006/main">
  <authors>
    <author>Author</author>
  </authors>
  <commentList>
    <comment ref="F7" authorId="0">
      <text>
        <r>
          <rPr>
            <sz val="9"/>
            <color indexed="81"/>
            <rFont val="Tahoma"/>
            <family val="2"/>
          </rPr>
          <t>Miguel and Kremer 2004 found benefits to future income for children who received deworming, but there was a substantial increase in the prevalence of worms between the first and second year, likely due to El Nino. Thus, the study may suffer from external validity problems - in more typical conditions, worm prevalence may be lower, and so the effect won't be as large as Miguel and Kremer 2004 found. Enter the value you find most appropriate with which to discount this difference (i.e. the difference between estimated effects and what they would have been had worm prevalence not been elevated in the second year).</t>
        </r>
      </text>
    </comment>
    <comment ref="I7" authorId="0">
      <text>
        <r>
          <rPr>
            <sz val="9"/>
            <color indexed="81"/>
            <rFont val="Tahoma"/>
            <family val="2"/>
          </rPr>
          <t>Adjustment for the possibility that worm prevalence in the treated area is less than in the area where Miguel and Kremer 2004 found benefits from deworming (in the first year, separate from any El Nino effect).</t>
        </r>
      </text>
    </comment>
    <comment ref="F8" authorId="0">
      <text>
        <r>
          <rPr>
            <sz val="9"/>
            <color indexed="81"/>
            <rFont val="Tahoma"/>
            <family val="2"/>
          </rPr>
          <t>Biomedical research often is not reliable. Enter your expected probability that the developmental impact found by Miguel and Kremer 2004 actually exists.</t>
        </r>
      </text>
    </comment>
    <comment ref="I8" authorId="0">
      <text>
        <r>
          <rPr>
            <sz val="9"/>
            <color indexed="81"/>
            <rFont val="Tahoma"/>
            <family val="2"/>
          </rPr>
          <t>Adjustment for the possibility that worm prevalence in the treated area is less than in the area where Miguel and Kremer 2004 found benefits from deworming (in the first year, separate from any El Nino effect).</t>
        </r>
      </text>
    </comment>
    <comment ref="L8" authorId="0">
      <text>
        <r>
          <rPr>
            <sz val="9"/>
            <color indexed="81"/>
            <rFont val="Tahoma"/>
            <family val="2"/>
          </rPr>
          <t>Biomedical research often is not reliable. Enter your expected probability that the IQ impact found by studies of iodine actually exists.</t>
        </r>
      </text>
    </comment>
    <comment ref="F9" authorId="0">
      <text>
        <r>
          <rPr>
            <sz val="9"/>
            <color indexed="81"/>
            <rFont val="Tahoma"/>
            <family val="2"/>
          </rPr>
          <t>Miguel and Kremer 2004 found benefits to future income after 2.41 years of treatment, but programs aim to deworm children for 10 years. Enter the proportion of those 10 years that you expect are helpful to children's development.</t>
        </r>
      </text>
    </comment>
    <comment ref="I9" authorId="0">
      <text>
        <r>
          <rPr>
            <sz val="9"/>
            <color indexed="81"/>
            <rFont val="Tahoma"/>
            <family val="2"/>
          </rPr>
          <t>Deworm the World may "leverage" donations by increasing the amount that governments spend on deworming. Enter the appropriate value for the extent to which you expect this to happen. 100% means that no leverage happens (i.e. that DtW funds are responsible for the same proportion of total impact as total funding), numbers above 100% assume leverage occurs, and numbers below 100% imply that leverage is working in reverse and Deworm the World is spending some money the government would have spent anyway.</t>
        </r>
      </text>
    </comment>
    <comment ref="L9" authorId="0">
      <text>
        <r>
          <rPr>
            <sz val="9"/>
            <color indexed="81"/>
            <rFont val="Tahoma"/>
            <family val="2"/>
          </rPr>
          <t>Studies of the effects of iodine may have taken place under particularly favorable conditions. Enter the fraction of the effect that those studies found that you expect in typical conditions.</t>
        </r>
      </text>
    </comment>
    <comment ref="C10" authorId="0">
      <text>
        <r>
          <rPr>
            <sz val="9"/>
            <color indexed="81"/>
            <rFont val="Calibri"/>
            <family val="2"/>
          </rPr>
          <t>This is only applied to the proportion that is invested.</t>
        </r>
      </text>
    </comment>
    <comment ref="F10" authorId="0">
      <text>
        <r>
          <rPr>
            <sz val="9"/>
            <color indexed="81"/>
            <rFont val="Tahoma"/>
            <family val="2"/>
          </rPr>
          <t>How much are the developmental benefits of deworming (approximately a 25% increase in lifetime income) worth, relative to saving a life? One way to think about this figure is: one life saved is as good as how many people gaining the development benefits from deworming?
A high value for this column indicates a high value placed on income relative to DALYs/lives, which should correspond to a low value placed in the cell below, as putting a high value on income suggests that not relatively few years of increased income are equivalent to a DALY.</t>
        </r>
      </text>
    </comment>
    <comment ref="I10" authorId="0">
      <text>
        <r>
          <rPr>
            <sz val="9"/>
            <color indexed="81"/>
            <rFont val="Tahoma"/>
            <family val="2"/>
          </rPr>
          <t>SCI may "leverage" donations by increasing the amount that governments spend on deworming. Enter the appropriate value for the extent to which you expect this to happen. 100% means that no leverage happens (i.e. that SCI funds are responsible for the same proportion of total impact as total funding), numbers above 100% assume leverage occurs, and numbers below 100% imply that leverage is working in reverse and SCI is spending some money the government would have spent anyway.</t>
        </r>
      </text>
    </comment>
    <comment ref="L10" authorId="0">
      <text>
        <r>
          <rPr>
            <sz val="9"/>
            <color indexed="81"/>
            <rFont val="Tahoma"/>
            <family val="2"/>
          </rPr>
          <t>Enter the proportion by which you think ICCIDD/GAIN may leverage government funds for iodine fortification.</t>
        </r>
      </text>
    </comment>
    <comment ref="F11" authorId="0">
      <text>
        <r>
          <rPr>
            <sz val="9"/>
            <color indexed="81"/>
            <rFont val="Tahoma"/>
            <family val="2"/>
          </rPr>
          <t>Deworming has short term and long term benefits. We use this value to convert the short term health benefits into financial terms, by multiplying it by the value of the short term health benefits in DALY terms.
Increasing ln(income) by one unit roughly doubles income, so one way to think about this number is: "how many years of roughly doubling one's income are equivalent to an extra healthy year of life (one DALY)?"
A high value for this column indicates a low value placed on income relative to DALYs/lives, so should correspond to a low value in the cell above, because putting a low value on income suggests that the income-based benefits of deworming are of relatively low value compared to DALYs/lives.</t>
        </r>
      </text>
    </comment>
    <comment ref="L11" authorId="0">
      <text>
        <r>
          <rPr>
            <sz val="9"/>
            <color indexed="81"/>
            <rFont val="Tahoma"/>
            <family val="2"/>
          </rPr>
          <t>There is some evidence that IQ increases fade out over time. Enter the proportion of the effect that you think actually persists over time.</t>
        </r>
      </text>
    </comment>
    <comment ref="L12" authorId="0">
      <text>
        <r>
          <rPr>
            <sz val="9"/>
            <color indexed="81"/>
            <rFont val="Tahoma"/>
            <family val="2"/>
          </rPr>
          <t>Enter the proportion of households that previously weren't getting iodized salt that now will as a result of national salt iodization.</t>
        </r>
      </text>
    </comment>
    <comment ref="L13" authorId="0">
      <text>
        <r>
          <rPr>
            <sz val="9"/>
            <color indexed="81"/>
            <rFont val="Tahoma"/>
            <family val="2"/>
          </rPr>
          <t>Enter the probability that GAIN or ICCIDD are causing salt iodization that wouldn't have happened anyway.</t>
        </r>
      </text>
    </comment>
    <comment ref="C14" authorId="0">
      <text>
        <r>
          <rPr>
            <b/>
            <sz val="9"/>
            <color indexed="81"/>
            <rFont val="Tahoma"/>
            <family val="2"/>
          </rPr>
          <t>Author:</t>
        </r>
        <r>
          <rPr>
            <sz val="9"/>
            <color indexed="81"/>
            <rFont val="Tahoma"/>
            <family val="2"/>
          </rPr>
          <t xml:space="preserve">
Length of capital investments (e.g. iron roofs)</t>
        </r>
      </text>
    </comment>
    <comment ref="I14" authorId="0">
      <text>
        <r>
          <rPr>
            <sz val="9"/>
            <color indexed="81"/>
            <rFont val="Tahoma"/>
            <family val="2"/>
          </rPr>
          <t>The long term benefits of deworming likely only accrue to children. Short term health benefits likely impact both children and adults.</t>
        </r>
      </text>
    </comment>
    <comment ref="L14" authorId="0">
      <text>
        <r>
          <rPr>
            <sz val="9"/>
            <color indexed="81"/>
            <rFont val="Tahoma"/>
            <family val="2"/>
          </rPr>
          <t>Studies have found that iodine increases IQ, but it is possible that in developing countries increased IQ does not lead to actual improvements in quality of life. (E.g. Baird et al 2012 found no effect of deworming on non-wage earners, even though wage earners were better off, presumably do to some developmental, possibly mental, effects of deworming). Enter the percentage of children who's quality of life you expect will actually benefit from the effects of iodine.</t>
        </r>
      </text>
    </comment>
    <comment ref="I15" authorId="0">
      <text>
        <r>
          <rPr>
            <sz val="9"/>
            <color indexed="81"/>
            <rFont val="Tahoma"/>
            <family val="2"/>
          </rPr>
          <t xml:space="preserve">The long term benefits of deworming likely only accrue to children. Short term health benefits likely impact both children and adults. </t>
        </r>
      </text>
    </comment>
    <comment ref="L15" authorId="0">
      <text>
        <r>
          <rPr>
            <sz val="9"/>
            <color indexed="81"/>
            <rFont val="Tahoma"/>
            <family val="2"/>
          </rPr>
          <t>Note that studies of iodine have found increases in IQ, not wages. Here we use wages for comparison to deworming, relying on an assumption that there is a connection. Enter the expected increase in wages from having sufficient iodine throughout childhood (more specifically, the equivalent wage increase to the IQ benefit you expect).</t>
        </r>
      </text>
    </comment>
  </commentList>
</comments>
</file>

<file path=xl/comments2.xml><?xml version="1.0" encoding="utf-8"?>
<comments xmlns="http://schemas.openxmlformats.org/spreadsheetml/2006/main">
  <authors>
    <author>Author</author>
  </authors>
  <commentList>
    <comment ref="B5" authorId="0">
      <text>
        <r>
          <rPr>
            <sz val="9"/>
            <color indexed="81"/>
            <rFont val="Tahoma"/>
            <family val="2"/>
          </rPr>
          <t xml:space="preserve">The baseline prevalence (in 1998) for the first group to receive deworming treatment was significantly lower than the baseline prevalence (in 1999) for the second group to receive deworming treatment, plausibly due to an unusually strong El Nino. Given this, we believe the baseline prevalence from 1998 underestimates how much that group stood to benefit from deworming. </t>
        </r>
      </text>
    </comment>
    <comment ref="B9" authorId="0">
      <text>
        <r>
          <rPr>
            <sz val="9"/>
            <color indexed="81"/>
            <rFont val="Tahoma"/>
            <family val="2"/>
          </rPr>
          <t>See also section 5 of model to triangulate on this estimate.</t>
        </r>
      </text>
    </comment>
    <comment ref="B33" authorId="0">
      <text>
        <r>
          <rPr>
            <sz val="9"/>
            <color indexed="81"/>
            <rFont val="Tahoma"/>
            <family val="2"/>
          </rPr>
          <t>If a person treated for deworming earns more money and supports a family, then multiple people may have improved lives (via higher consumption) rather than just the person who was dewormed. (Similar to the cash transfer supporting the whole family rather than just the recipient.)
Enter the number of household members (including the person who received deworming treatment) who's consumption will be increased by the amount of income increase observed for the length of the income earners career. For example, if you expect the deworming recipient is the only wage earner and their household members will be dependent for their entire career, this is simply the number of household members, or if s/he earns half the household income, this is half the household members. A dependent only being in the household for half the career would suggest a smaller number (though greater than .5 given discounting). Other alternatives require similarly nuanced considerations.
We make the same assumption for benefits of iodine and for the development benefits from bednet coverage.</t>
        </r>
      </text>
    </comment>
  </commentList>
</comments>
</file>

<file path=xl/comments3.xml><?xml version="1.0" encoding="utf-8"?>
<comments xmlns="http://schemas.openxmlformats.org/spreadsheetml/2006/main">
  <authors>
    <author>Author</author>
  </authors>
  <commentList>
    <comment ref="B2" authorId="0">
      <text>
        <r>
          <rPr>
            <sz val="9"/>
            <color indexed="81"/>
            <rFont val="Tahoma"/>
            <family val="2"/>
          </rPr>
          <t>Some documents contain researchers' and/or organizations' unpublished data and cannot be published.</t>
        </r>
      </text>
    </comment>
  </commentList>
</comments>
</file>

<file path=xl/comments4.xml><?xml version="1.0" encoding="utf-8"?>
<comments xmlns="http://schemas.openxmlformats.org/spreadsheetml/2006/main">
  <authors>
    <author>Author</author>
  </authors>
  <commentList>
    <comment ref="F7" authorId="0">
      <text>
        <r>
          <rPr>
            <sz val="9"/>
            <color indexed="81"/>
            <rFont val="Tahoma"/>
            <family val="2"/>
          </rPr>
          <t xml:space="preserve">The baseline prevalence (in 1998) for the first group to receive deworming treatment was significantly lower than the baseline prevalence (in 1999) for the second group to receive deworming treatment, plausibly due to an unusually strong El Nino. Given this, we believe the baseline prevalence from 1998 underestimates how much that group stood to benefit from deworming. </t>
        </r>
      </text>
    </comment>
    <comment ref="I7" authorId="0">
      <text>
        <r>
          <rPr>
            <sz val="9"/>
            <color indexed="81"/>
            <rFont val="Tahoma"/>
            <family val="2"/>
          </rPr>
          <t>Adjustment for the possibility that worm prevalence in the treated area is less than in the area where Miguel and Kremer 2004 found benefits from deworming (in the first year, separate from any El Nino effect).</t>
        </r>
      </text>
    </comment>
    <comment ref="F8" authorId="0">
      <text>
        <r>
          <rPr>
            <sz val="9"/>
            <color indexed="81"/>
            <rFont val="Tahoma"/>
            <family val="2"/>
          </rPr>
          <t>Biomedical research often is not reliable. Enter your expected probability that the developmental impact found by Miguel and Kremer 2004 actually exists.</t>
        </r>
      </text>
    </comment>
    <comment ref="I8" authorId="0">
      <text>
        <r>
          <rPr>
            <sz val="9"/>
            <color indexed="81"/>
            <rFont val="Tahoma"/>
            <family val="2"/>
          </rPr>
          <t>Adjustment for the possibility that worm prevalence in the treated area is less than in the area where Miguel and Kremer 2004 found benefits from deworming (in the first year, separate from any El Nino effect).</t>
        </r>
      </text>
    </comment>
    <comment ref="L8" authorId="0">
      <text>
        <r>
          <rPr>
            <sz val="9"/>
            <color indexed="81"/>
            <rFont val="Tahoma"/>
            <family val="2"/>
          </rPr>
          <t>Biomedical research often is not reliable. Enter your expected probability that the IQ impact found by studies of iodine actually exists.</t>
        </r>
      </text>
    </comment>
    <comment ref="AD8" authorId="0">
      <text>
        <r>
          <rPr>
            <sz val="9"/>
            <color indexed="81"/>
            <rFont val="Tahoma"/>
            <family val="2"/>
          </rPr>
          <t>Conceptually, it should be consistent with other inputs, as we've derived here. This framing can be used as a spot check on the intuition for the other inputs.
How much are the developmental benefits of deworming (approximately a 25% increase in lifetime income, potentially supporting multiple people in a household) worth, relative to saving a life? One way to think about this figure is: one life saved is as good as how many people gaining the development benefits from deworming?
A high value for this column indicates a high value placed on income relative to DALYs/lives, which should correspond to a low value placed in the cell below, as putting a high value on income suggests that not relatively few years of increased income are equivalent to a DALY.</t>
        </r>
      </text>
    </comment>
    <comment ref="F9" authorId="0">
      <text>
        <r>
          <rPr>
            <sz val="9"/>
            <color indexed="81"/>
            <rFont val="Tahoma"/>
            <family val="2"/>
          </rPr>
          <t>Miguel and Kremer 2004 found benefits to future income after 2.41 years of treatment, but programs aim to deworm children for 10 years. Enter the proportion of those 10 years that you expect are helpful to children's development.</t>
        </r>
      </text>
    </comment>
    <comment ref="I9" authorId="0">
      <text>
        <r>
          <rPr>
            <sz val="9"/>
            <color indexed="81"/>
            <rFont val="Tahoma"/>
            <family val="2"/>
          </rPr>
          <t>Deworm the World may "leverage" donations by increasing the amount that governments spend on deworming. Enter the appropriate value for the extent to which you expect this to happen. 100% means that no leverage happens (i.e. that DtW funds are responsible for the same proportion of total impact as total funding), numbers above 100% assume leverage occurs, and numbers below 100% imply that leverage is working in reverse and Deworm the World is spending some money the government would have spent anyway.</t>
        </r>
      </text>
    </comment>
    <comment ref="L9" authorId="0">
      <text>
        <r>
          <rPr>
            <sz val="9"/>
            <color indexed="81"/>
            <rFont val="Tahoma"/>
            <family val="2"/>
          </rPr>
          <t>Studies of the effects of iodine may have taken place under particularly favorable conditions. Enter the fraction of the effect that those studies found that you expect in typical conditions.</t>
        </r>
      </text>
    </comment>
    <comment ref="C10" authorId="0">
      <text>
        <r>
          <rPr>
            <sz val="9"/>
            <color indexed="81"/>
            <rFont val="Tahoma"/>
            <family val="2"/>
          </rPr>
          <t>This is only applied to the proportion that is invested.</t>
        </r>
      </text>
    </comment>
    <comment ref="F10" authorId="0">
      <text>
        <r>
          <rPr>
            <sz val="9"/>
            <color indexed="81"/>
            <rFont val="Tahoma"/>
            <family val="2"/>
          </rPr>
          <t>Increasing ln(income) by one unit roughly doubles income, so one way to think about this number is: "how many years of roughly doubling one's income are equivalent to an extra healthy year of life (one DALY)?"</t>
        </r>
      </text>
    </comment>
    <comment ref="I10" authorId="0">
      <text>
        <r>
          <rPr>
            <sz val="9"/>
            <color indexed="81"/>
            <rFont val="Tahoma"/>
            <family val="2"/>
          </rPr>
          <t>SCI may "leverage" donations by increasing the amount that governments spend on deworming. Enter the appropriate value for the extent to which you expect this to happen. 100% means that no leverage happens (i.e. that SCI funds are responsible for the same proportion of total impact as total funding), numbers above 100% assume leverage occurs, and numbers below 100% imply that leverage is working in reverse and SCI is spending some money the government would have spent anyway.</t>
        </r>
      </text>
    </comment>
    <comment ref="L10" authorId="0">
      <text>
        <r>
          <rPr>
            <sz val="9"/>
            <color indexed="81"/>
            <rFont val="Tahoma"/>
            <family val="2"/>
          </rPr>
          <t>Enter the proportion by which you think ICCIDD/GAIN may leverage government funds for iodine fortification.</t>
        </r>
      </text>
    </comment>
    <comment ref="AB10" authorId="0">
      <text>
        <r>
          <rPr>
            <sz val="9"/>
            <color indexed="81"/>
            <rFont val="Tahoma"/>
            <family val="2"/>
          </rPr>
          <t>Enter "Yes" or "No"</t>
        </r>
      </text>
    </comment>
    <comment ref="F11" authorId="0">
      <text>
        <r>
          <rPr>
            <sz val="9"/>
            <color indexed="81"/>
            <rFont val="Tahoma"/>
            <family val="2"/>
          </rPr>
          <t>If a person treated for deworming earns more money and supports a family, then multiple people may have improved lives (via higher consumption) rather than just the person who was dewormed. (Similar to the cash transfer supporting the whole family rather than just the recipient.)
Enter the number of household members (including the person who received deworming treatment) who's consumption will be increased by the amount of income increase observed for the length of the income earners career. For example, if you expect the deworming recipient is the only wage earner and their household members will be dependent for their entire career, this is simply the number of household members, or if s/he earns half the household income, this is half the household members. A dependent only being in the household for half the career would suggest a smaller number (though greater than .5 given discounting). Other alternatives require similarly nuanced considerations.
We make the same assumption for benefits of iodine and for the development benefits from bednet coverage.</t>
        </r>
      </text>
    </comment>
    <comment ref="I11" authorId="0">
      <text>
        <r>
          <rPr>
            <sz val="9"/>
            <color indexed="81"/>
            <rFont val="Tahoma"/>
            <family val="2"/>
          </rPr>
          <t>See note on parameters sheet for explanation.</t>
        </r>
      </text>
    </comment>
    <comment ref="L11" authorId="0">
      <text>
        <r>
          <rPr>
            <sz val="9"/>
            <color indexed="81"/>
            <rFont val="Tahoma"/>
            <family val="2"/>
          </rPr>
          <t>There is some evidence that IQ increases fade out over time. Enter the proportion of the effect that you think actually persists over time.</t>
        </r>
      </text>
    </comment>
    <comment ref="L12" authorId="0">
      <text>
        <r>
          <rPr>
            <sz val="9"/>
            <color indexed="81"/>
            <rFont val="Tahoma"/>
            <family val="2"/>
          </rPr>
          <t>Enter the proportion of households that previously weren't getting iodized salt that now will as a result of national salt iodization.</t>
        </r>
      </text>
    </comment>
    <comment ref="F13" authorId="0">
      <text>
        <r>
          <rPr>
            <sz val="9"/>
            <color indexed="81"/>
            <rFont val="Tahoma"/>
            <family val="2"/>
          </rPr>
          <t>Our primary prevalence/intensity adjustment is based on comparing charities' current program areas to M&amp;K. We are unsure what the prevalence/intensity was in the areas where the short term health impacts were measured. This factor us used to re-calibrate the prevalence/intensity adjustment.
This should approximate the ratio of prevalence/intensity in areas of ST benefits relative to M&amp;K, so 1 means they were the same and &gt;1 implies that prevalence/intensity was lower in the areas of ST health benefits than in M&amp;K. (Setting this to the inverse of the input used for a charity's prevalence/intensity adjustment would mean that the charity is operating in areas comparable to the areas of the ST health benefits.)</t>
        </r>
      </text>
    </comment>
    <comment ref="L13" authorId="0">
      <text>
        <r>
          <rPr>
            <sz val="9"/>
            <color indexed="81"/>
            <rFont val="Tahoma"/>
            <family val="2"/>
          </rPr>
          <t>Enter the probability that GAIN or ICCIDD are causing salt iodization that wouldn't have happened anyway.</t>
        </r>
      </text>
    </comment>
    <comment ref="I14" authorId="0">
      <text>
        <r>
          <rPr>
            <sz val="9"/>
            <color indexed="81"/>
            <rFont val="Tahoma"/>
            <family val="2"/>
          </rPr>
          <t>The long term benefits of deworming likely only accrue to children. Short term health benefits likely impact both children and adults.</t>
        </r>
      </text>
    </comment>
    <comment ref="L14" authorId="0">
      <text>
        <r>
          <rPr>
            <sz val="9"/>
            <color indexed="81"/>
            <rFont val="Tahoma"/>
            <family val="2"/>
          </rPr>
          <t>Studies have found that iodine increases IQ, but it is possible that in developing countries increased IQ does not lead to actual improvements in quality of life. (E.g. Baird et al 2012 found no effect of deworming on non-wage earners, even though wage earners were better off, presumably do to some developmental, possibly mental, effects of deworming). Enter the percentage of children who's quality of life you expect will actually benefit from the effects of iodine.</t>
        </r>
      </text>
    </comment>
    <comment ref="I15" authorId="0">
      <text>
        <r>
          <rPr>
            <sz val="9"/>
            <color indexed="81"/>
            <rFont val="Tahoma"/>
            <family val="2"/>
          </rPr>
          <t xml:space="preserve">The long term benefits of deworming likely only accrue to children. Short term health benefits likely impact both children and adults. </t>
        </r>
      </text>
    </comment>
    <comment ref="L15" authorId="0">
      <text>
        <r>
          <rPr>
            <sz val="9"/>
            <color indexed="81"/>
            <rFont val="Tahoma"/>
            <family val="2"/>
          </rPr>
          <t>Note that studies of iodine have found increases in IQ, not wages. Here we use wages for comparison to deworming, relying on an assumption that there is a connection. Enter the expected increase in wages from having sufficient iodine throughout childhood (more specifically, the equivalent wage increase to the IQ benefit you expect).</t>
        </r>
      </text>
    </comment>
    <comment ref="I18" authorId="0">
      <text>
        <r>
          <rPr>
            <sz val="9"/>
            <color indexed="81"/>
            <rFont val="Tahoma"/>
            <family val="2"/>
          </rPr>
          <t>See note on parameters sheet for explanation.</t>
        </r>
      </text>
    </comment>
  </commentList>
</comments>
</file>

<file path=xl/comments5.xml><?xml version="1.0" encoding="utf-8"?>
<comments xmlns="http://schemas.openxmlformats.org/spreadsheetml/2006/main">
  <authors>
    <author>Author</author>
  </authors>
  <commentList>
    <comment ref="F7" authorId="0">
      <text>
        <r>
          <rPr>
            <sz val="9"/>
            <color indexed="81"/>
            <rFont val="Tahoma"/>
            <family val="2"/>
          </rPr>
          <t xml:space="preserve">The baseline prevalence (in 1998) for the first group to receive deworming treatment was significantly lower than the baseline prevalence (in 1999) for the second group to receive deworming treatment, plausibly due to an unusually strong El Nino. Given this, we believe the baseline prevalence from 1998 underestimates how much that group stood to benefit from deworming. </t>
        </r>
      </text>
    </comment>
    <comment ref="I7" authorId="0">
      <text>
        <r>
          <rPr>
            <sz val="9"/>
            <color indexed="81"/>
            <rFont val="Tahoma"/>
            <family val="2"/>
          </rPr>
          <t>Adjustment for the possibility that worm prevalence in the treated area is less than in the area where Miguel and Kremer 2004 found benefits from deworming (in the first year, separate from any El Nino effect).</t>
        </r>
      </text>
    </comment>
    <comment ref="F8" authorId="0">
      <text>
        <r>
          <rPr>
            <sz val="9"/>
            <color indexed="81"/>
            <rFont val="Tahoma"/>
            <family val="2"/>
          </rPr>
          <t>Biomedical research often is not reliable. Enter your expected probability that the developmental impact found by Miguel and Kremer 2004 actually exists.</t>
        </r>
      </text>
    </comment>
    <comment ref="I8" authorId="0">
      <text>
        <r>
          <rPr>
            <sz val="9"/>
            <color indexed="81"/>
            <rFont val="Tahoma"/>
            <family val="2"/>
          </rPr>
          <t>Adjustment for the possibility that worm prevalence in the treated area is less than in the area where Miguel and Kremer 2004 found benefits from deworming (in the first year, separate from any El Nino effect).</t>
        </r>
      </text>
    </comment>
    <comment ref="L8" authorId="0">
      <text>
        <r>
          <rPr>
            <sz val="9"/>
            <color indexed="81"/>
            <rFont val="Tahoma"/>
            <family val="2"/>
          </rPr>
          <t>Biomedical research often is not reliable. Enter your expected probability that the IQ impact found by studies of iodine actually exists.</t>
        </r>
      </text>
    </comment>
    <comment ref="AB8" authorId="0">
      <text>
        <r>
          <rPr>
            <sz val="9"/>
            <color indexed="81"/>
            <rFont val="Tahoma"/>
            <family val="2"/>
          </rPr>
          <t>Adjusted from default model to exclude M18.</t>
        </r>
      </text>
    </comment>
    <comment ref="AD8" authorId="0">
      <text>
        <r>
          <rPr>
            <sz val="9"/>
            <color indexed="81"/>
            <rFont val="Tahoma"/>
            <family val="2"/>
          </rPr>
          <t>Conceptually, it should be consistent with other inputs, as we've derived here. This framing can be used as a spot check on the intuition for the other inputs.
How much are the developmental benefits of deworming (approximately a 25% increase in lifetime income, potentially supporting multiple people in a household) worth, relative to saving a life? One way to think about this figure is: one life saved is as good as how many people gaining the development benefits from deworming?
A high value for this column indicates a high value placed on income relative to DALYs/lives, which should correspond to a low value placed in the cell below, as putting a high value on income suggests that not relatively few years of increased income are equivalent to a DALY.</t>
        </r>
      </text>
    </comment>
    <comment ref="F9" authorId="0">
      <text>
        <r>
          <rPr>
            <sz val="9"/>
            <color indexed="81"/>
            <rFont val="Tahoma"/>
            <family val="2"/>
          </rPr>
          <t>Miguel and Kremer 2004 found benefits to future income after 2.41 years of treatment, but programs aim to deworm children for 10 years. Enter the proportion of those 10 years that you expect are helpful to children's development.</t>
        </r>
      </text>
    </comment>
    <comment ref="I9" authorId="0">
      <text>
        <r>
          <rPr>
            <sz val="9"/>
            <color indexed="81"/>
            <rFont val="Tahoma"/>
            <family val="2"/>
          </rPr>
          <t>Deworm the World may "leverage" donations by increasing the amount that governments spend on deworming. Enter the appropriate value for the extent to which you expect this to happen. 100% means that no leverage happens (i.e. that DtW funds are responsible for the same proportion of total impact as total funding), numbers above 100% assume leverage occurs, and numbers below 100% imply that leverage is working in reverse and Deworm the World is spending some money the government would have spent anyway.</t>
        </r>
      </text>
    </comment>
    <comment ref="L9" authorId="0">
      <text>
        <r>
          <rPr>
            <sz val="9"/>
            <color indexed="81"/>
            <rFont val="Tahoma"/>
            <family val="2"/>
          </rPr>
          <t>Studies of the effects of iodine may have taken place under particularly favorable conditions. Enter the fraction of the effect that those studies found that you expect in typical conditions.</t>
        </r>
      </text>
    </comment>
    <comment ref="C10" authorId="0">
      <text>
        <r>
          <rPr>
            <sz val="9"/>
            <color indexed="81"/>
            <rFont val="Tahoma"/>
            <family val="2"/>
          </rPr>
          <t>This is only applied to the proportion that is invested.</t>
        </r>
      </text>
    </comment>
    <comment ref="F10" authorId="0">
      <text>
        <r>
          <rPr>
            <sz val="9"/>
            <color indexed="81"/>
            <rFont val="Tahoma"/>
            <family val="2"/>
          </rPr>
          <t>Increasing ln(income) by one unit roughly doubles income, so one way to think about this number is: "how many years of roughly doubling one's income are equivalent to an extra healthy year of life (one DALY)?"</t>
        </r>
      </text>
    </comment>
    <comment ref="I10" authorId="0">
      <text>
        <r>
          <rPr>
            <sz val="9"/>
            <color indexed="81"/>
            <rFont val="Tahoma"/>
            <family val="2"/>
          </rPr>
          <t>SCI may "leverage" donations by increasing the amount that governments spend on deworming. Enter the appropriate value for the extent to which you expect this to happen. 100% means that no leverage happens (i.e. that SCI funds are responsible for the same proportion of total impact as total funding), numbers above 100% assume leverage occurs, and numbers below 100% imply that leverage is working in reverse and SCI is spending some money the government would have spent anyway.</t>
        </r>
      </text>
    </comment>
    <comment ref="L10" authorId="0">
      <text>
        <r>
          <rPr>
            <sz val="9"/>
            <color indexed="81"/>
            <rFont val="Tahoma"/>
            <family val="2"/>
          </rPr>
          <t>Enter the proportion by which you think ICCIDD/GAIN may leverage government funds for iodine fortification.</t>
        </r>
      </text>
    </comment>
    <comment ref="AB10" authorId="0">
      <text>
        <r>
          <rPr>
            <sz val="9"/>
            <color indexed="81"/>
            <rFont val="Tahoma"/>
            <family val="2"/>
          </rPr>
          <t>Enter "Yes" or "No"</t>
        </r>
      </text>
    </comment>
    <comment ref="F11" authorId="0">
      <text>
        <r>
          <rPr>
            <sz val="9"/>
            <color indexed="81"/>
            <rFont val="Tahoma"/>
            <family val="2"/>
          </rPr>
          <t>If a person treated for deworming earns more money and supports a family, then multiple people may have improved lives (via higher consumption) rather than just the person who was dewormed. (Similar to the cash transfer supporting the whole family rather than just the recipient.)
Enter the number of household members (including the person who received deworming treatment) who's consumption will be increased by the amount of income increase observed for the length of the income earners career. For example, if you expect the deworming recipient is the only wage earner and their household members will be dependent for their entire career, this is simply the number of household members, or if s/he earns half the household income, this is half the household members. A dependent only being in the household for half the career would suggest a smaller number (though greater than .5 given discounting). Other alternatives require similarly nuanced considerations.
We make the same assumption for benefits of iodine and for the development benefits from bednet coverage.</t>
        </r>
      </text>
    </comment>
    <comment ref="I11" authorId="0">
      <text>
        <r>
          <rPr>
            <sz val="9"/>
            <color indexed="81"/>
            <rFont val="Tahoma"/>
            <family val="2"/>
          </rPr>
          <t>See note on parameters sheet for explanation.</t>
        </r>
      </text>
    </comment>
    <comment ref="L11" authorId="0">
      <text>
        <r>
          <rPr>
            <sz val="9"/>
            <color indexed="81"/>
            <rFont val="Tahoma"/>
            <family val="2"/>
          </rPr>
          <t>There is some evidence that IQ increases fade out over time. Enter the proportion of the effect that you think actually persists over time.</t>
        </r>
      </text>
    </comment>
    <comment ref="L12" authorId="0">
      <text>
        <r>
          <rPr>
            <sz val="9"/>
            <color indexed="81"/>
            <rFont val="Tahoma"/>
            <family val="2"/>
          </rPr>
          <t>Enter the proportion of households that previously weren't getting iodized salt that now will as a result of national salt iodization.</t>
        </r>
      </text>
    </comment>
    <comment ref="F13" authorId="0">
      <text>
        <r>
          <rPr>
            <sz val="9"/>
            <color indexed="81"/>
            <rFont val="Tahoma"/>
            <family val="2"/>
          </rPr>
          <t>Our primary prevalence/intensity adjustment is based on comparing charities' current program areas to M&amp;K. We are unsure what the prevalence/intensity was in the areas where the short term health impacts were measured. This factor us used to re-calibrate the prevalence/intensity adjustment.
This should approximate the ratio of prevalence/intensity in areas of ST benefits relative to M&amp;K, so 1 means they were the same and &gt;1 implies that prevalence/intensity was lower in the areas of ST health benefits than in M&amp;K. (Setting this to the inverse of the input used for a charity's prevalence/intensity adjustment would mean that the charity is operating in areas comparable to the areas of the ST health benefits.)</t>
        </r>
      </text>
    </comment>
    <comment ref="L13" authorId="0">
      <text>
        <r>
          <rPr>
            <sz val="9"/>
            <color indexed="81"/>
            <rFont val="Tahoma"/>
            <family val="2"/>
          </rPr>
          <t>Enter the probability that GAIN or ICCIDD are causing salt iodization that wouldn't have happened anyway.</t>
        </r>
      </text>
    </comment>
    <comment ref="I14" authorId="0">
      <text>
        <r>
          <rPr>
            <sz val="9"/>
            <color indexed="81"/>
            <rFont val="Tahoma"/>
            <family val="2"/>
          </rPr>
          <t>The long term benefits of deworming likely only accrue to children. Short term health benefits likely impact both children and adults.</t>
        </r>
      </text>
    </comment>
    <comment ref="L14" authorId="0">
      <text>
        <r>
          <rPr>
            <sz val="9"/>
            <color indexed="81"/>
            <rFont val="Tahoma"/>
            <family val="2"/>
          </rPr>
          <t>Studies have found that iodine increases IQ, but it is possible that in developing countries increased IQ does not lead to actual improvements in quality of life. (E.g. Baird et al 2012 found no effect of deworming on non-wage earners, even though wage earners were better off, presumably do to some developmental, possibly mental, effects of deworming). Enter the percentage of children who's quality of life you expect will actually benefit from the effects of iodine.</t>
        </r>
      </text>
    </comment>
    <comment ref="I15" authorId="0">
      <text>
        <r>
          <rPr>
            <sz val="9"/>
            <color indexed="81"/>
            <rFont val="Tahoma"/>
            <family val="2"/>
          </rPr>
          <t xml:space="preserve">The long term benefits of deworming likely only accrue to children. Short term health benefits likely impact both children and adults. </t>
        </r>
      </text>
    </comment>
    <comment ref="L15" authorId="0">
      <text>
        <r>
          <rPr>
            <sz val="9"/>
            <color indexed="81"/>
            <rFont val="Tahoma"/>
            <family val="2"/>
          </rPr>
          <t>Note that studies of iodine have found increases in IQ, not wages. Here we use wages for comparison to deworming, relying on an assumption that there is a connection. Enter the expected increase in wages from having sufficient iodine throughout childhood (more specifically, the equivalent wage increase to the IQ benefit you expect).</t>
        </r>
      </text>
    </comment>
    <comment ref="I18" authorId="0">
      <text>
        <r>
          <rPr>
            <sz val="9"/>
            <color indexed="81"/>
            <rFont val="Tahoma"/>
            <family val="2"/>
          </rPr>
          <t>See note on parameters sheet for explanation.</t>
        </r>
      </text>
    </comment>
  </commentList>
</comments>
</file>

<file path=xl/comments6.xml><?xml version="1.0" encoding="utf-8"?>
<comments xmlns="http://schemas.openxmlformats.org/spreadsheetml/2006/main">
  <authors>
    <author>Author</author>
  </authors>
  <commentList>
    <comment ref="F7" authorId="0">
      <text>
        <r>
          <rPr>
            <sz val="9"/>
            <color indexed="81"/>
            <rFont val="Tahoma"/>
            <family val="2"/>
          </rPr>
          <t xml:space="preserve">The baseline prevalence (in 1998) for the first group to receive deworming treatment was significantly lower than the baseline prevalence (in 1999) for the second group to receive deworming treatment, plausibly due to an unusually strong El Nino. Given this, we believe the baseline prevalence from 1998 underestimates how much that group stood to benefit from deworming. </t>
        </r>
      </text>
    </comment>
    <comment ref="I7" authorId="0">
      <text>
        <r>
          <rPr>
            <sz val="9"/>
            <color indexed="81"/>
            <rFont val="Tahoma"/>
            <family val="2"/>
          </rPr>
          <t>Adjustment for the possibility that worm prevalence in the treated area is less than in the area where Miguel and Kremer 2004 found benefits from deworming (in the first year, separate from any El Nino effect).</t>
        </r>
      </text>
    </comment>
    <comment ref="F8" authorId="0">
      <text>
        <r>
          <rPr>
            <sz val="9"/>
            <color indexed="81"/>
            <rFont val="Tahoma"/>
            <family val="2"/>
          </rPr>
          <t>Biomedical research often is not reliable. Enter your expected probability that the developmental impact found by Miguel and Kremer 2004 actually exists.</t>
        </r>
      </text>
    </comment>
    <comment ref="I8" authorId="0">
      <text>
        <r>
          <rPr>
            <sz val="9"/>
            <color indexed="81"/>
            <rFont val="Tahoma"/>
            <family val="2"/>
          </rPr>
          <t>Adjustment for the possibility that worm prevalence in the treated area is less than in the area where Miguel and Kremer 2004 found benefits from deworming (in the first year, separate from any El Nino effect).</t>
        </r>
      </text>
    </comment>
    <comment ref="L8" authorId="0">
      <text>
        <r>
          <rPr>
            <sz val="9"/>
            <color indexed="81"/>
            <rFont val="Tahoma"/>
            <family val="2"/>
          </rPr>
          <t>Biomedical research often is not reliable. Enter your expected probability that the IQ impact found by studies of iodine actually exists.</t>
        </r>
      </text>
    </comment>
    <comment ref="AD8" authorId="0">
      <text>
        <r>
          <rPr>
            <sz val="9"/>
            <color indexed="81"/>
            <rFont val="Tahoma"/>
            <family val="2"/>
          </rPr>
          <t>Conceptually, it should be consistent with other inputs, as we've derived here. This framing can be used as a spot check on the intuition for the other inputs.
How much are the developmental benefits of deworming (approximately a 25% increase in lifetime income, potentially supporting multiple people in a household) worth, relative to saving a life? One way to think about this figure is: one life saved is as good as how many people gaining the development benefits from deworming?
A high value for this column indicates a high value placed on income relative to DALYs/lives, which should correspond to a low value placed in the cell below, as putting a high value on income suggests that not relatively few years of increased income are equivalent to a DALY.</t>
        </r>
      </text>
    </comment>
    <comment ref="F9" authorId="0">
      <text>
        <r>
          <rPr>
            <sz val="9"/>
            <color indexed="81"/>
            <rFont val="Tahoma"/>
            <family val="2"/>
          </rPr>
          <t>Miguel and Kremer 2004 found benefits to future income after 2.41 years of treatment, but programs aim to deworm children for 10 years. Enter the proportion of those 10 years that you expect are helpful to children's development.</t>
        </r>
      </text>
    </comment>
    <comment ref="I9" authorId="0">
      <text>
        <r>
          <rPr>
            <sz val="9"/>
            <color indexed="81"/>
            <rFont val="Tahoma"/>
            <family val="2"/>
          </rPr>
          <t>Deworm the World may "leverage" donations by increasing the amount that governments spend on deworming. Enter the appropriate value for the extent to which you expect this to happen. 100% means that no leverage happens (i.e. that DtW funds are responsible for the same proportion of total impact as total funding), numbers above 100% assume leverage occurs, and numbers below 100% imply that leverage is working in reverse and Deworm the World is spending some money the government would have spent anyway.</t>
        </r>
      </text>
    </comment>
    <comment ref="L9" authorId="0">
      <text>
        <r>
          <rPr>
            <sz val="9"/>
            <color indexed="81"/>
            <rFont val="Tahoma"/>
            <family val="2"/>
          </rPr>
          <t>Studies of the effects of iodine may have taken place under particularly favorable conditions. Enter the fraction of the effect that those studies found that you expect in typical conditions.</t>
        </r>
      </text>
    </comment>
    <comment ref="C10" authorId="0">
      <text>
        <r>
          <rPr>
            <sz val="9"/>
            <color indexed="81"/>
            <rFont val="Tahoma"/>
            <family val="2"/>
          </rPr>
          <t>This is only applied to the proportion that is invested.</t>
        </r>
      </text>
    </comment>
    <comment ref="F10" authorId="0">
      <text>
        <r>
          <rPr>
            <sz val="9"/>
            <color indexed="81"/>
            <rFont val="Tahoma"/>
            <family val="2"/>
          </rPr>
          <t>Increasing ln(income) by one unit roughly doubles income, so one way to think about this number is: "how many years of roughly doubling one's income are equivalent to an extra healthy year of life (one DALY)?"</t>
        </r>
      </text>
    </comment>
    <comment ref="I10" authorId="0">
      <text>
        <r>
          <rPr>
            <sz val="9"/>
            <color indexed="81"/>
            <rFont val="Tahoma"/>
            <family val="2"/>
          </rPr>
          <t>SCI may "leverage" donations by increasing the amount that governments spend on deworming. Enter the appropriate value for the extent to which you expect this to happen. 100% means that no leverage happens (i.e. that SCI funds are responsible for the same proportion of total impact as total funding), numbers above 100% assume leverage occurs, and numbers below 100% imply that leverage is working in reverse and SCI is spending some money the government would have spent anyway.</t>
        </r>
      </text>
    </comment>
    <comment ref="L10" authorId="0">
      <text>
        <r>
          <rPr>
            <sz val="9"/>
            <color indexed="81"/>
            <rFont val="Tahoma"/>
            <family val="2"/>
          </rPr>
          <t>Enter the proportion by which you think ICCIDD/GAIN may leverage government funds for iodine fortification.</t>
        </r>
      </text>
    </comment>
    <comment ref="AB10" authorId="0">
      <text>
        <r>
          <rPr>
            <sz val="9"/>
            <color indexed="81"/>
            <rFont val="Tahoma"/>
            <family val="2"/>
          </rPr>
          <t>Enter "Yes" or "No"</t>
        </r>
      </text>
    </comment>
    <comment ref="F11" authorId="0">
      <text>
        <r>
          <rPr>
            <sz val="9"/>
            <color indexed="81"/>
            <rFont val="Tahoma"/>
            <family val="2"/>
          </rPr>
          <t>If a person treated for deworming earns more money and supports a family, then multiple people may have improved lives (via higher consumption) rather than just the person who was dewormed. (Similar to the cash transfer supporting the whole family rather than just the recipient.)
Enter the number of household members (including the person who received deworming treatment) who's consumption will be increased by the amount of income increase observed for the length of the income earners career. For example, if you expect the deworming recipient is the only wage earner and their household members will be dependent for their entire career, this is simply the number of household members, or if s/he earns half the household income, this is half the household members. A dependent only being in the household for half the career would suggest a smaller number (though greater than .5 given discounting). Other alternatives require similarly nuanced considerations.
We make the same assumption for benefits of iodine and for the development benefits from bednet coverage.</t>
        </r>
      </text>
    </comment>
    <comment ref="I11" authorId="0">
      <text>
        <r>
          <rPr>
            <sz val="9"/>
            <color indexed="81"/>
            <rFont val="Tahoma"/>
            <family val="2"/>
          </rPr>
          <t>See note on parameters sheet for explanation.</t>
        </r>
      </text>
    </comment>
    <comment ref="L11" authorId="0">
      <text>
        <r>
          <rPr>
            <sz val="9"/>
            <color indexed="81"/>
            <rFont val="Tahoma"/>
            <family val="2"/>
          </rPr>
          <t>There is some evidence that IQ increases fade out over time. Enter the proportion of the effect that you think actually persists over time.</t>
        </r>
      </text>
    </comment>
    <comment ref="L12" authorId="0">
      <text>
        <r>
          <rPr>
            <sz val="9"/>
            <color indexed="81"/>
            <rFont val="Tahoma"/>
            <family val="2"/>
          </rPr>
          <t>Enter the proportion of households that previously weren't getting iodized salt that now will as a result of national salt iodization.</t>
        </r>
      </text>
    </comment>
    <comment ref="F13" authorId="0">
      <text>
        <r>
          <rPr>
            <sz val="9"/>
            <color indexed="81"/>
            <rFont val="Tahoma"/>
            <family val="2"/>
          </rPr>
          <t>Our primary prevalence/intensity adjustment is based on comparing charities' current program areas to M&amp;K. We are unsure what the prevalence/intensity was in the areas where the short term health impacts were measured. This factor us used to re-calibrate the prevalence/intensity adjustment.
This should approximate the ratio of prevalence/intensity in areas of ST benefits relative to M&amp;K, so 1 means they were the same and &gt;1 implies that prevalence/intensity was lower in the areas of ST health benefits than in M&amp;K. (Setting this to the inverse of the input used for a charity's prevalence/intensity adjustment would mean that the charity is operating in areas comparable to the areas of the ST health benefits.)</t>
        </r>
      </text>
    </comment>
    <comment ref="L13" authorId="0">
      <text>
        <r>
          <rPr>
            <sz val="9"/>
            <color indexed="81"/>
            <rFont val="Tahoma"/>
            <family val="2"/>
          </rPr>
          <t>Enter the probability that GAIN or ICCIDD are causing salt iodization that wouldn't have happened anyway.</t>
        </r>
      </text>
    </comment>
    <comment ref="I14" authorId="0">
      <text>
        <r>
          <rPr>
            <sz val="9"/>
            <color indexed="81"/>
            <rFont val="Tahoma"/>
            <family val="2"/>
          </rPr>
          <t>The long term benefits of deworming likely only accrue to children. Short term health benefits likely impact both children and adults.</t>
        </r>
      </text>
    </comment>
    <comment ref="L14" authorId="0">
      <text>
        <r>
          <rPr>
            <sz val="9"/>
            <color indexed="81"/>
            <rFont val="Tahoma"/>
            <family val="2"/>
          </rPr>
          <t>Studies have found that iodine increases IQ, but it is possible that in developing countries increased IQ does not lead to actual improvements in quality of life. (E.g. Baird et al 2012 found no effect of deworming on non-wage earners, even though wage earners were better off, presumably do to some developmental, possibly mental, effects of deworming). Enter the percentage of children who's quality of life you expect will actually benefit from the effects of iodine.</t>
        </r>
      </text>
    </comment>
    <comment ref="I15" authorId="0">
      <text>
        <r>
          <rPr>
            <sz val="9"/>
            <color indexed="81"/>
            <rFont val="Tahoma"/>
            <family val="2"/>
          </rPr>
          <t xml:space="preserve">The long term benefits of deworming likely only accrue to children. Short term health benefits likely impact both children and adults. </t>
        </r>
      </text>
    </comment>
    <comment ref="L15" authorId="0">
      <text>
        <r>
          <rPr>
            <sz val="9"/>
            <color indexed="81"/>
            <rFont val="Tahoma"/>
            <family val="2"/>
          </rPr>
          <t>Note that studies of iodine have found increases in IQ, not wages. Here we use wages for comparison to deworming, relying on an assumption that there is a connection. Enter the expected increase in wages from having sufficient iodine throughout childhood (more specifically, the equivalent wage increase to the IQ benefit you expect).</t>
        </r>
      </text>
    </comment>
    <comment ref="I18" authorId="0">
      <text>
        <r>
          <rPr>
            <sz val="9"/>
            <color indexed="81"/>
            <rFont val="Tahoma"/>
            <family val="2"/>
          </rPr>
          <t>See note on parameters sheet for explanation.</t>
        </r>
      </text>
    </comment>
  </commentList>
</comments>
</file>

<file path=xl/comments7.xml><?xml version="1.0" encoding="utf-8"?>
<comments xmlns="http://schemas.openxmlformats.org/spreadsheetml/2006/main">
  <authors>
    <author>Author</author>
  </authors>
  <commentList>
    <comment ref="F7" authorId="0">
      <text>
        <r>
          <rPr>
            <sz val="9"/>
            <color indexed="81"/>
            <rFont val="Tahoma"/>
            <family val="2"/>
          </rPr>
          <t xml:space="preserve">The baseline prevalence (in 1998) for the first group to receive deworming treatment was significantly lower than the baseline prevalence (in 1999) for the second group to receive deworming treatment, plausibly due to an unusually strong El Nino. Given this, we believe the baseline prevalence from 1998 underestimates how much that group stood to benefit from deworming. </t>
        </r>
      </text>
    </comment>
    <comment ref="I7" authorId="0">
      <text>
        <r>
          <rPr>
            <sz val="9"/>
            <color indexed="81"/>
            <rFont val="Tahoma"/>
            <family val="2"/>
          </rPr>
          <t>Adjustment for the possibility that worm prevalence in the treated area is less than in the area where Miguel and Kremer 2004 found benefits from deworming (in the first year, separate from any El Nino effect).</t>
        </r>
      </text>
    </comment>
    <comment ref="F8" authorId="0">
      <text>
        <r>
          <rPr>
            <sz val="9"/>
            <color indexed="81"/>
            <rFont val="Tahoma"/>
            <family val="2"/>
          </rPr>
          <t>Biomedical research often is not reliable. Enter your expected probability that the developmental impact found by Miguel and Kremer 2004 actually exists.</t>
        </r>
      </text>
    </comment>
    <comment ref="I8" authorId="0">
      <text>
        <r>
          <rPr>
            <sz val="9"/>
            <color indexed="81"/>
            <rFont val="Tahoma"/>
            <family val="2"/>
          </rPr>
          <t>Adjustment for the possibility that worm prevalence in the treated area is less than in the area where Miguel and Kremer 2004 found benefits from deworming (in the first year, separate from any El Nino effect).</t>
        </r>
      </text>
    </comment>
    <comment ref="L8" authorId="0">
      <text>
        <r>
          <rPr>
            <sz val="9"/>
            <color indexed="81"/>
            <rFont val="Tahoma"/>
            <family val="2"/>
          </rPr>
          <t>Biomedical research often is not reliable. Enter your expected probability that the IQ impact found by studies of iodine actually exists.</t>
        </r>
      </text>
    </comment>
    <comment ref="AD8" authorId="0">
      <text>
        <r>
          <rPr>
            <sz val="9"/>
            <color indexed="81"/>
            <rFont val="Tahoma"/>
            <family val="2"/>
          </rPr>
          <t>Conceptually, it should be consistent with other inputs, as we've derived here. This framing can be used as a spot check on the intuition for the other inputs.
How much are the developmental benefits of deworming (approximately a 25% increase in lifetime income, potentially supporting multiple people in a household) worth, relative to saving a life? One way to think about this figure is: one life saved is as good as how many people gaining the development benefits from deworming?
A high value for this column indicates a high value placed on income relative to DALYs/lives, which should correspond to a low value placed in the cell below, as putting a high value on income suggests that not relatively few years of increased income are equivalent to a DALY.</t>
        </r>
      </text>
    </comment>
    <comment ref="F9" authorId="0">
      <text>
        <r>
          <rPr>
            <sz val="9"/>
            <color indexed="81"/>
            <rFont val="Tahoma"/>
            <family val="2"/>
          </rPr>
          <t>Miguel and Kremer 2004 found benefits to future income after 2.41 years of treatment, but programs aim to deworm children for 10 years. Enter the proportion of those 10 years that you expect are helpful to children's development.</t>
        </r>
      </text>
    </comment>
    <comment ref="I9" authorId="0">
      <text>
        <r>
          <rPr>
            <sz val="9"/>
            <color indexed="81"/>
            <rFont val="Tahoma"/>
            <family val="2"/>
          </rPr>
          <t>Deworm the World may "leverage" donations by increasing the amount that governments spend on deworming. Enter the appropriate value for the extent to which you expect this to happen. 100% means that no leverage happens (i.e. that DtW funds are responsible for the same proportion of total impact as total funding), numbers above 100% assume leverage occurs, and numbers below 100% imply that leverage is working in reverse and Deworm the World is spending some money the government would have spent anyway.</t>
        </r>
      </text>
    </comment>
    <comment ref="L9" authorId="0">
      <text>
        <r>
          <rPr>
            <sz val="9"/>
            <color indexed="81"/>
            <rFont val="Tahoma"/>
            <family val="2"/>
          </rPr>
          <t>Studies of the effects of iodine may have taken place under particularly favorable conditions. Enter the fraction of the effect that those studies found that you expect in typical conditions.</t>
        </r>
      </text>
    </comment>
    <comment ref="C10" authorId="0">
      <text>
        <r>
          <rPr>
            <sz val="9"/>
            <color indexed="81"/>
            <rFont val="Tahoma"/>
            <family val="2"/>
          </rPr>
          <t>This is only applied to the proportion that is invested.</t>
        </r>
      </text>
    </comment>
    <comment ref="F10" authorId="0">
      <text>
        <r>
          <rPr>
            <sz val="9"/>
            <color indexed="81"/>
            <rFont val="Tahoma"/>
            <family val="2"/>
          </rPr>
          <t>Increasing ln(income) by one unit roughly doubles income, so one way to think about this number is: "how many years of roughly doubling one's income are equivalent to an extra healthy year of life (one DALY)?"</t>
        </r>
      </text>
    </comment>
    <comment ref="I10" authorId="0">
      <text>
        <r>
          <rPr>
            <sz val="9"/>
            <color indexed="81"/>
            <rFont val="Tahoma"/>
            <family val="2"/>
          </rPr>
          <t>SCI may "leverage" donations by increasing the amount that governments spend on deworming. Enter the appropriate value for the extent to which you expect this to happen. 100% means that no leverage happens (i.e. that SCI funds are responsible for the same proportion of total impact as total funding), numbers above 100% assume leverage occurs, and numbers below 100% imply that leverage is working in reverse and SCI is spending some money the government would have spent anyway.</t>
        </r>
      </text>
    </comment>
    <comment ref="L10" authorId="0">
      <text>
        <r>
          <rPr>
            <sz val="9"/>
            <color indexed="81"/>
            <rFont val="Tahoma"/>
            <family val="2"/>
          </rPr>
          <t>Enter the proportion by which you think ICCIDD/GAIN may leverage government funds for iodine fortification.</t>
        </r>
      </text>
    </comment>
    <comment ref="AB10" authorId="0">
      <text>
        <r>
          <rPr>
            <sz val="9"/>
            <color indexed="81"/>
            <rFont val="Tahoma"/>
            <family val="2"/>
          </rPr>
          <t>Enter "Yes" or "No"</t>
        </r>
      </text>
    </comment>
    <comment ref="F11" authorId="0">
      <text>
        <r>
          <rPr>
            <sz val="9"/>
            <color indexed="81"/>
            <rFont val="Tahoma"/>
            <family val="2"/>
          </rPr>
          <t>If a person treated for deworming earns more money and supports a family, then multiple people may have improved lives (via higher consumption) rather than just the person who was dewormed. (Similar to the cash transfer supporting the whole family rather than just the recipient.)
Enter the number of household members (including the person who received deworming treatment) who's consumption will be increased by the amount of income increase observed for the length of the income earners career. For example, if you expect the deworming recipient is the only wage earner and their household members will be dependent for their entire career, this is simply the number of household members, or if s/he earns half the household income, this is half the household members. A dependent only being in the household for half the career would suggest a smaller number (though greater than .5 given discounting). Other alternatives require similarly nuanced considerations.
We make the same assumption for benefits of iodine and for the development benefits from bednet coverage.</t>
        </r>
      </text>
    </comment>
    <comment ref="I11" authorId="0">
      <text>
        <r>
          <rPr>
            <sz val="9"/>
            <color indexed="81"/>
            <rFont val="Tahoma"/>
            <family val="2"/>
          </rPr>
          <t>See note on parameters sheet for explanation.</t>
        </r>
      </text>
    </comment>
    <comment ref="L11" authorId="0">
      <text>
        <r>
          <rPr>
            <sz val="9"/>
            <color indexed="81"/>
            <rFont val="Tahoma"/>
            <family val="2"/>
          </rPr>
          <t>There is some evidence that IQ increases fade out over time. Enter the proportion of the effect that you think actually persists over time.</t>
        </r>
      </text>
    </comment>
    <comment ref="L12" authorId="0">
      <text>
        <r>
          <rPr>
            <sz val="9"/>
            <color indexed="81"/>
            <rFont val="Tahoma"/>
            <family val="2"/>
          </rPr>
          <t>Enter the proportion of households that previously weren't getting iodized salt that now will as a result of national salt iodization.</t>
        </r>
      </text>
    </comment>
    <comment ref="F13" authorId="0">
      <text>
        <r>
          <rPr>
            <sz val="9"/>
            <color indexed="81"/>
            <rFont val="Tahoma"/>
            <family val="2"/>
          </rPr>
          <t>Our primary prevalence/intensity adjustment is based on comparing charities' current program areas to M&amp;K. We are unsure what the prevalence/intensity was in the areas where the short term health impacts were measured. This factor us used to re-calibrate the prevalence/intensity adjustment.
This should approximate the ratio of prevalence/intensity in areas of ST benefits relative to M&amp;K, so 1 means they were the same and &gt;1 implies that prevalence/intensity was lower in the areas of ST health benefits than in M&amp;K. (Setting this to the inverse of the input used for a charity's prevalence/intensity adjustment would mean that the charity is operating in areas comparable to the areas of the ST health benefits.)</t>
        </r>
      </text>
    </comment>
    <comment ref="L13" authorId="0">
      <text>
        <r>
          <rPr>
            <sz val="9"/>
            <color indexed="81"/>
            <rFont val="Tahoma"/>
            <family val="2"/>
          </rPr>
          <t>Enter the probability that GAIN or ICCIDD are causing salt iodization that wouldn't have happened anyway.</t>
        </r>
      </text>
    </comment>
    <comment ref="I14" authorId="0">
      <text>
        <r>
          <rPr>
            <sz val="9"/>
            <color indexed="81"/>
            <rFont val="Tahoma"/>
            <family val="2"/>
          </rPr>
          <t>The long term benefits of deworming likely only accrue to children. Short term health benefits likely impact both children and adults.</t>
        </r>
      </text>
    </comment>
    <comment ref="L14" authorId="0">
      <text>
        <r>
          <rPr>
            <sz val="9"/>
            <color indexed="81"/>
            <rFont val="Tahoma"/>
            <family val="2"/>
          </rPr>
          <t>Studies have found that iodine increases IQ, but it is possible that in developing countries increased IQ does not lead to actual improvements in quality of life. (E.g. Baird et al 2012 found no effect of deworming on non-wage earners, even though wage earners were better off, presumably do to some developmental, possibly mental, effects of deworming). Enter the percentage of children who's quality of life you expect will actually benefit from the effects of iodine.</t>
        </r>
      </text>
    </comment>
    <comment ref="I15" authorId="0">
      <text>
        <r>
          <rPr>
            <sz val="9"/>
            <color indexed="81"/>
            <rFont val="Tahoma"/>
            <family val="2"/>
          </rPr>
          <t xml:space="preserve">The long term benefits of deworming likely only accrue to children. Short term health benefits likely impact both children and adults. </t>
        </r>
      </text>
    </comment>
    <comment ref="L15" authorId="0">
      <text>
        <r>
          <rPr>
            <sz val="9"/>
            <color indexed="81"/>
            <rFont val="Tahoma"/>
            <family val="2"/>
          </rPr>
          <t>Note that studies of iodine have found increases in IQ, not wages. Here we use wages for comparison to deworming, relying on an assumption that there is a connection. Enter the expected increase in wages from having sufficient iodine throughout childhood (more specifically, the equivalent wage increase to the IQ benefit you expect).</t>
        </r>
      </text>
    </comment>
    <comment ref="I18" authorId="0">
      <text>
        <r>
          <rPr>
            <sz val="9"/>
            <color indexed="81"/>
            <rFont val="Tahoma"/>
            <family val="2"/>
          </rPr>
          <t>See note on parameters sheet for explanation.</t>
        </r>
      </text>
    </comment>
  </commentList>
</comments>
</file>

<file path=xl/comments8.xml><?xml version="1.0" encoding="utf-8"?>
<comments xmlns="http://schemas.openxmlformats.org/spreadsheetml/2006/main">
  <authors>
    <author>Author</author>
  </authors>
  <commentList>
    <comment ref="F7" authorId="0">
      <text>
        <r>
          <rPr>
            <sz val="9"/>
            <color indexed="81"/>
            <rFont val="Tahoma"/>
            <family val="2"/>
          </rPr>
          <t xml:space="preserve">The baseline prevalence (in 1998) for the first group to receive deworming treatment was significantly lower than the baseline prevalence (in 1999) for the second group to receive deworming treatment, plausibly due to an unusually strong El Nino. Given this, we believe the baseline prevalence from 1998 underestimates how much that group stood to benefit from deworming. </t>
        </r>
      </text>
    </comment>
    <comment ref="I7" authorId="0">
      <text>
        <r>
          <rPr>
            <sz val="9"/>
            <color indexed="81"/>
            <rFont val="Tahoma"/>
            <family val="2"/>
          </rPr>
          <t>Adjustment for the possibility that worm prevalence in the treated area is less than in the area where Miguel and Kremer 2004 found benefits from deworming (in the first year, separate from any El Nino effect).</t>
        </r>
      </text>
    </comment>
    <comment ref="F8" authorId="0">
      <text>
        <r>
          <rPr>
            <sz val="9"/>
            <color indexed="81"/>
            <rFont val="Tahoma"/>
            <family val="2"/>
          </rPr>
          <t>Biomedical research often is not reliable. Enter your expected probability that the developmental impact found by Miguel and Kremer 2004 actually exists.</t>
        </r>
      </text>
    </comment>
    <comment ref="I8" authorId="0">
      <text>
        <r>
          <rPr>
            <sz val="9"/>
            <color indexed="81"/>
            <rFont val="Tahoma"/>
            <family val="2"/>
          </rPr>
          <t>Adjustment for the possibility that worm prevalence in the treated area is less than in the area where Miguel and Kremer 2004 found benefits from deworming (in the first year, separate from any El Nino effect).</t>
        </r>
      </text>
    </comment>
    <comment ref="L8" authorId="0">
      <text>
        <r>
          <rPr>
            <sz val="9"/>
            <color indexed="81"/>
            <rFont val="Tahoma"/>
            <family val="2"/>
          </rPr>
          <t>Biomedical research often is not reliable. Enter your expected probability that the IQ impact found by studies of iodine actually exists.</t>
        </r>
      </text>
    </comment>
    <comment ref="AD8" authorId="0">
      <text>
        <r>
          <rPr>
            <sz val="9"/>
            <color indexed="81"/>
            <rFont val="Tahoma"/>
            <family val="2"/>
          </rPr>
          <t>Conceptually, it should be consistent with other inputs, as we've derived here. This framing can be used as a spot check on the intuition for the other inputs.
How much are the developmental benefits of deworming (approximately a 25% increase in lifetime income, potentially supporting multiple people in a household) worth, relative to saving a life? One way to think about this figure is: one life saved is as good as how many people gaining the development benefits from deworming?
A high value for this column indicates a high value placed on income relative to DALYs/lives, which should correspond to a low value placed in the cell below, as putting a high value on income suggests that not relatively few years of increased income are equivalent to a DALY.</t>
        </r>
      </text>
    </comment>
    <comment ref="F9" authorId="0">
      <text>
        <r>
          <rPr>
            <sz val="9"/>
            <color indexed="81"/>
            <rFont val="Tahoma"/>
            <family val="2"/>
          </rPr>
          <t>Miguel and Kremer 2004 found benefits to future income after 2.41 years of treatment, but programs aim to deworm children for 10 years. Enter the proportion of those 10 years that you expect are helpful to children's development.</t>
        </r>
      </text>
    </comment>
    <comment ref="I9" authorId="0">
      <text>
        <r>
          <rPr>
            <sz val="9"/>
            <color indexed="81"/>
            <rFont val="Tahoma"/>
            <family val="2"/>
          </rPr>
          <t>Deworm the World may "leverage" donations by increasing the amount that governments spend on deworming. Enter the appropriate value for the extent to which you expect this to happen. 100% means that no leverage happens (i.e. that DtW funds are responsible for the same proportion of total impact as total funding), numbers above 100% assume leverage occurs, and numbers below 100% imply that leverage is working in reverse and Deworm the World is spending some money the government would have spent anyway.</t>
        </r>
      </text>
    </comment>
    <comment ref="L9" authorId="0">
      <text>
        <r>
          <rPr>
            <sz val="9"/>
            <color indexed="81"/>
            <rFont val="Tahoma"/>
            <family val="2"/>
          </rPr>
          <t>Studies of the effects of iodine may have taken place under particularly favorable conditions. Enter the fraction of the effect that those studies found that you expect in typical conditions.</t>
        </r>
      </text>
    </comment>
    <comment ref="C10" authorId="0">
      <text>
        <r>
          <rPr>
            <sz val="9"/>
            <color indexed="81"/>
            <rFont val="Tahoma"/>
            <family val="2"/>
          </rPr>
          <t>This is only applied to the proportion that is invested.</t>
        </r>
      </text>
    </comment>
    <comment ref="F10" authorId="0">
      <text>
        <r>
          <rPr>
            <sz val="9"/>
            <color indexed="81"/>
            <rFont val="Tahoma"/>
            <family val="2"/>
          </rPr>
          <t>Increasing ln(income) by one unit roughly doubles income, so one way to think about this number is: "how many years of roughly doubling one's income are equivalent to an extra healthy year of life (one DALY)?"</t>
        </r>
      </text>
    </comment>
    <comment ref="I10" authorId="0">
      <text>
        <r>
          <rPr>
            <sz val="9"/>
            <color indexed="81"/>
            <rFont val="Tahoma"/>
            <family val="2"/>
          </rPr>
          <t>SCI may "leverage" donations by increasing the amount that governments spend on deworming. Enter the appropriate value for the extent to which you expect this to happen. 100% means that no leverage happens (i.e. that SCI funds are responsible for the same proportion of total impact as total funding), numbers above 100% assume leverage occurs, and numbers below 100% imply that leverage is working in reverse and SCI is spending some money the government would have spent anyway.</t>
        </r>
      </text>
    </comment>
    <comment ref="L10" authorId="0">
      <text>
        <r>
          <rPr>
            <sz val="9"/>
            <color indexed="81"/>
            <rFont val="Tahoma"/>
            <family val="2"/>
          </rPr>
          <t>Enter the proportion by which you think ICCIDD/GAIN may leverage government funds for iodine fortification.</t>
        </r>
      </text>
    </comment>
    <comment ref="AB10" authorId="0">
      <text>
        <r>
          <rPr>
            <sz val="9"/>
            <color indexed="81"/>
            <rFont val="Tahoma"/>
            <family val="2"/>
          </rPr>
          <t>Enter "Yes" or "No"</t>
        </r>
      </text>
    </comment>
    <comment ref="F11" authorId="0">
      <text>
        <r>
          <rPr>
            <sz val="9"/>
            <color indexed="81"/>
            <rFont val="Tahoma"/>
            <family val="2"/>
          </rPr>
          <t>If a person treated for deworming earns more money and supports a family, then multiple people may have improved lives (via higher consumption) rather than just the person who was dewormed. (Similar to the cash transfer supporting the whole family rather than just the recipient.)
Enter the number of household members (including the person who received deworming treatment) who's consumption will be increased by the amount of income increase observed for the length of the income earners career. For example, if you expect the deworming recipient is the only wage earner and their household members will be dependent for their entire career, this is simply the number of household members, or if s/he earns half the household income, this is half the household members. A dependent only being in the household for half the career would suggest a smaller number (though greater than .5 given discounting). Other alternatives require similarly nuanced considerations.
We make the same assumption for benefits of iodine and for the development benefits from bednet coverage.</t>
        </r>
      </text>
    </comment>
    <comment ref="I11" authorId="0">
      <text>
        <r>
          <rPr>
            <sz val="9"/>
            <color indexed="81"/>
            <rFont val="Tahoma"/>
            <family val="2"/>
          </rPr>
          <t>See note on parameters sheet for explanation.</t>
        </r>
      </text>
    </comment>
    <comment ref="L11" authorId="0">
      <text>
        <r>
          <rPr>
            <sz val="9"/>
            <color indexed="81"/>
            <rFont val="Tahoma"/>
            <family val="2"/>
          </rPr>
          <t>There is some evidence that IQ increases fade out over time. Enter the proportion of the effect that you think actually persists over time.</t>
        </r>
      </text>
    </comment>
    <comment ref="L12" authorId="0">
      <text>
        <r>
          <rPr>
            <sz val="9"/>
            <color indexed="81"/>
            <rFont val="Tahoma"/>
            <family val="2"/>
          </rPr>
          <t>Enter the proportion of households that previously weren't getting iodized salt that now will as a result of national salt iodization.</t>
        </r>
      </text>
    </comment>
    <comment ref="F13" authorId="0">
      <text>
        <r>
          <rPr>
            <sz val="9"/>
            <color indexed="81"/>
            <rFont val="Tahoma"/>
            <family val="2"/>
          </rPr>
          <t>Our primary prevalence/intensity adjustment is based on comparing charities' current program areas to M&amp;K. We are unsure what the prevalence/intensity was in the areas where the short term health impacts were measured. This factor us used to re-calibrate the prevalence/intensity adjustment.
This should approximate the ratio of prevalence/intensity in areas of ST benefits relative to M&amp;K, so 1 means they were the same and &gt;1 implies that prevalence/intensity was lower in the areas of ST health benefits than in M&amp;K. (Setting this to the inverse of the input used for a charity's prevalence/intensity adjustment would mean that the charity is operating in areas comparable to the areas of the ST health benefits.)</t>
        </r>
      </text>
    </comment>
    <comment ref="L13" authorId="0">
      <text>
        <r>
          <rPr>
            <sz val="9"/>
            <color indexed="81"/>
            <rFont val="Tahoma"/>
            <family val="2"/>
          </rPr>
          <t>Enter the probability that GAIN or ICCIDD are causing salt iodization that wouldn't have happened anyway.</t>
        </r>
      </text>
    </comment>
    <comment ref="I14" authorId="0">
      <text>
        <r>
          <rPr>
            <sz val="9"/>
            <color indexed="81"/>
            <rFont val="Tahoma"/>
            <family val="2"/>
          </rPr>
          <t>The long term benefits of deworming likely only accrue to children. Short term health benefits likely impact both children and adults.</t>
        </r>
      </text>
    </comment>
    <comment ref="L14" authorId="0">
      <text>
        <r>
          <rPr>
            <sz val="9"/>
            <color indexed="81"/>
            <rFont val="Tahoma"/>
            <family val="2"/>
          </rPr>
          <t>Studies have found that iodine increases IQ, but it is possible that in developing countries increased IQ does not lead to actual improvements in quality of life. (E.g. Baird et al 2012 found no effect of deworming on non-wage earners, even though wage earners were better off, presumably do to some developmental, possibly mental, effects of deworming). Enter the percentage of children who's quality of life you expect will actually benefit from the effects of iodine.</t>
        </r>
      </text>
    </comment>
    <comment ref="I15" authorId="0">
      <text>
        <r>
          <rPr>
            <sz val="9"/>
            <color indexed="81"/>
            <rFont val="Tahoma"/>
            <family val="2"/>
          </rPr>
          <t xml:space="preserve">The long term benefits of deworming likely only accrue to children. Short term health benefits likely impact both children and adults. </t>
        </r>
      </text>
    </comment>
    <comment ref="L15" authorId="0">
      <text>
        <r>
          <rPr>
            <sz val="9"/>
            <color indexed="81"/>
            <rFont val="Tahoma"/>
            <family val="2"/>
          </rPr>
          <t>Note that studies of iodine have found increases in IQ, not wages. Here we use wages for comparison to deworming, relying on an assumption that there is a connection. Enter the expected increase in wages from having sufficient iodine throughout childhood (more specifically, the equivalent wage increase to the IQ benefit you expect).</t>
        </r>
      </text>
    </comment>
    <comment ref="I18" authorId="0">
      <text>
        <r>
          <rPr>
            <sz val="9"/>
            <color indexed="81"/>
            <rFont val="Tahoma"/>
            <family val="2"/>
          </rPr>
          <t>See note on parameters sheet for explanation.</t>
        </r>
      </text>
    </comment>
  </commentList>
</comments>
</file>

<file path=xl/comments9.xml><?xml version="1.0" encoding="utf-8"?>
<comments xmlns="http://schemas.openxmlformats.org/spreadsheetml/2006/main">
  <authors>
    <author>Author</author>
  </authors>
  <commentList>
    <comment ref="R5" authorId="0">
      <text>
        <r>
          <rPr>
            <sz val="9"/>
            <color indexed="81"/>
            <rFont val="Tahoma"/>
            <family val="2"/>
          </rPr>
          <t>Edited from default model to assume 8 years instead of 10.</t>
        </r>
      </text>
    </comment>
    <comment ref="F7" authorId="0">
      <text>
        <r>
          <rPr>
            <sz val="9"/>
            <color indexed="81"/>
            <rFont val="Tahoma"/>
            <family val="2"/>
          </rPr>
          <t xml:space="preserve">The baseline prevalence (in 1998) for the first group to receive deworming treatment was significantly lower than the baseline prevalence (in 1999) for the second group to receive deworming treatment, plausibly due to an unusually strong El Nino. Given this, we believe the baseline prevalence from 1998 underestimates how much that group stood to benefit from deworming. </t>
        </r>
      </text>
    </comment>
    <comment ref="I7" authorId="0">
      <text>
        <r>
          <rPr>
            <sz val="9"/>
            <color indexed="81"/>
            <rFont val="Tahoma"/>
            <family val="2"/>
          </rPr>
          <t>Adjustment for the possibility that worm prevalence in the treated area is less than in the area where Miguel and Kremer 2004 found benefits from deworming (in the first year, separate from any El Nino effect).</t>
        </r>
      </text>
    </comment>
    <comment ref="F8" authorId="0">
      <text>
        <r>
          <rPr>
            <sz val="9"/>
            <color indexed="81"/>
            <rFont val="Tahoma"/>
            <family val="2"/>
          </rPr>
          <t>Biomedical research often is not reliable. Enter your expected probability that the developmental impact found by Miguel and Kremer 2004 actually exists.</t>
        </r>
      </text>
    </comment>
    <comment ref="I8" authorId="0">
      <text>
        <r>
          <rPr>
            <sz val="9"/>
            <color indexed="81"/>
            <rFont val="Tahoma"/>
            <family val="2"/>
          </rPr>
          <t>Adjustment for the possibility that worm prevalence in the treated area is less than in the area where Miguel and Kremer 2004 found benefits from deworming (in the first year, separate from any El Nino effect).</t>
        </r>
      </text>
    </comment>
    <comment ref="L8" authorId="0">
      <text>
        <r>
          <rPr>
            <sz val="9"/>
            <color indexed="81"/>
            <rFont val="Tahoma"/>
            <family val="2"/>
          </rPr>
          <t>Biomedical research often is not reliable. Enter your expected probability that the IQ impact found by studies of iodine actually exists.</t>
        </r>
      </text>
    </comment>
    <comment ref="AD8" authorId="0">
      <text>
        <r>
          <rPr>
            <sz val="9"/>
            <color indexed="81"/>
            <rFont val="Tahoma"/>
            <family val="2"/>
          </rPr>
          <t>Conceptually, it should be consistent with other inputs, as we've derived here. This framing can be used as a spot check on the intuition for the other inputs.
How much are the developmental benefits of deworming (approximately a 25% increase in lifetime income, potentially supporting multiple people in a household) worth, relative to saving a life? One way to think about this figure is: one life saved is as good as how many people gaining the development benefits from deworming?
A high value for this column indicates a high value placed on income relative to DALYs/lives, which should correspond to a low value placed in the cell below, as putting a high value on income suggests that not relatively few years of increased income are equivalent to a DALY.</t>
        </r>
      </text>
    </comment>
    <comment ref="F9" authorId="0">
      <text>
        <r>
          <rPr>
            <sz val="9"/>
            <color indexed="81"/>
            <rFont val="Tahoma"/>
            <family val="2"/>
          </rPr>
          <t>Miguel and Kremer 2004 found benefits to future income after 2.41 years of treatment, but programs aim to deworm children for 10 years. Enter the proportion of those 10 years that you expect are helpful to children's development.</t>
        </r>
      </text>
    </comment>
    <comment ref="I9" authorId="0">
      <text>
        <r>
          <rPr>
            <sz val="9"/>
            <color indexed="81"/>
            <rFont val="Tahoma"/>
            <family val="2"/>
          </rPr>
          <t>Deworm the World may "leverage" donations by increasing the amount that governments spend on deworming. Enter the appropriate value for the extent to which you expect this to happen. 100% means that no leverage happens (i.e. that DtW funds are responsible for the same proportion of total impact as total funding), numbers above 100% assume leverage occurs, and numbers below 100% imply that leverage is working in reverse and Deworm the World is spending some money the government would have spent anyway.</t>
        </r>
      </text>
    </comment>
    <comment ref="L9" authorId="0">
      <text>
        <r>
          <rPr>
            <sz val="9"/>
            <color indexed="81"/>
            <rFont val="Tahoma"/>
            <family val="2"/>
          </rPr>
          <t>Studies of the effects of iodine may have taken place under particularly favorable conditions. Enter the fraction of the effect that those studies found that you expect in typical conditions.</t>
        </r>
      </text>
    </comment>
    <comment ref="C10" authorId="0">
      <text>
        <r>
          <rPr>
            <sz val="9"/>
            <color indexed="81"/>
            <rFont val="Tahoma"/>
            <family val="2"/>
          </rPr>
          <t>This is only applied to the proportion that is invested.</t>
        </r>
      </text>
    </comment>
    <comment ref="F10" authorId="0">
      <text>
        <r>
          <rPr>
            <sz val="9"/>
            <color indexed="81"/>
            <rFont val="Tahoma"/>
            <family val="2"/>
          </rPr>
          <t>Increasing ln(income) by one unit roughly doubles income, so one way to think about this number is: "how many years of roughly doubling one's income are equivalent to an extra healthy year of life (one DALY)?"</t>
        </r>
      </text>
    </comment>
    <comment ref="I10" authorId="0">
      <text>
        <r>
          <rPr>
            <sz val="9"/>
            <color indexed="81"/>
            <rFont val="Tahoma"/>
            <family val="2"/>
          </rPr>
          <t>SCI may "leverage" donations by increasing the amount that governments spend on deworming. Enter the appropriate value for the extent to which you expect this to happen. 100% means that no leverage happens (i.e. that SCI funds are responsible for the same proportion of total impact as total funding), numbers above 100% assume leverage occurs, and numbers below 100% imply that leverage is working in reverse and SCI is spending some money the government would have spent anyway.</t>
        </r>
      </text>
    </comment>
    <comment ref="L10" authorId="0">
      <text>
        <r>
          <rPr>
            <sz val="9"/>
            <color indexed="81"/>
            <rFont val="Tahoma"/>
            <family val="2"/>
          </rPr>
          <t>Enter the proportion by which you think ICCIDD/GAIN may leverage government funds for iodine fortification.</t>
        </r>
      </text>
    </comment>
    <comment ref="AB10" authorId="0">
      <text>
        <r>
          <rPr>
            <sz val="9"/>
            <color indexed="81"/>
            <rFont val="Tahoma"/>
            <family val="2"/>
          </rPr>
          <t>Enter "Yes" or "No"</t>
        </r>
      </text>
    </comment>
    <comment ref="F11" authorId="0">
      <text>
        <r>
          <rPr>
            <sz val="9"/>
            <color indexed="81"/>
            <rFont val="Tahoma"/>
            <family val="2"/>
          </rPr>
          <t>If a person treated for deworming earns more money and supports a family, then multiple people may have improved lives (via higher consumption) rather than just the person who was dewormed. (Similar to the cash transfer supporting the whole family rather than just the recipient.)
Enter the number of household members (including the person who received deworming treatment) who's consumption will be increased by the amount of income increase observed for the length of the income earners career. For example, if you expect the deworming recipient is the only wage earner and their household members will be dependent for their entire career, this is simply the number of household members, or if s/he earns half the household income, this is half the household members. A dependent only being in the household for half the career would suggest a smaller number (though greater than .5 given discounting). Other alternatives require similarly nuanced considerations.
We make the same assumption for benefits of iodine and for the development benefits from bednet coverage.</t>
        </r>
      </text>
    </comment>
    <comment ref="I11" authorId="0">
      <text>
        <r>
          <rPr>
            <sz val="9"/>
            <color indexed="81"/>
            <rFont val="Tahoma"/>
            <family val="2"/>
          </rPr>
          <t>See note on parameters sheet for explanation.</t>
        </r>
      </text>
    </comment>
    <comment ref="L11" authorId="0">
      <text>
        <r>
          <rPr>
            <sz val="9"/>
            <color indexed="81"/>
            <rFont val="Tahoma"/>
            <family val="2"/>
          </rPr>
          <t>There is some evidence that IQ increases fade out over time. Enter the proportion of the effect that you think actually persists over time.</t>
        </r>
      </text>
    </comment>
    <comment ref="L12" authorId="0">
      <text>
        <r>
          <rPr>
            <sz val="9"/>
            <color indexed="81"/>
            <rFont val="Tahoma"/>
            <family val="2"/>
          </rPr>
          <t>Enter the proportion of households that previously weren't getting iodized salt that now will as a result of national salt iodization.</t>
        </r>
      </text>
    </comment>
    <comment ref="F13" authorId="0">
      <text>
        <r>
          <rPr>
            <sz val="9"/>
            <color indexed="81"/>
            <rFont val="Tahoma"/>
            <family val="2"/>
          </rPr>
          <t>Our primary prevalence/intensity adjustment is based on comparing charities' current program areas to M&amp;K. We are unsure what the prevalence/intensity was in the areas where the short term health impacts were measured. This factor us used to re-calibrate the prevalence/intensity adjustment.
This should approximate the ratio of prevalence/intensity in areas of ST benefits relative to M&amp;K, so 1 means they were the same and &gt;1 implies that prevalence/intensity was lower in the areas of ST health benefits than in M&amp;K. (Setting this to the inverse of the input used for a charity's prevalence/intensity adjustment would mean that the charity is operating in areas comparable to the areas of the ST health benefits.)</t>
        </r>
      </text>
    </comment>
    <comment ref="L13" authorId="0">
      <text>
        <r>
          <rPr>
            <sz val="9"/>
            <color indexed="81"/>
            <rFont val="Tahoma"/>
            <family val="2"/>
          </rPr>
          <t>Enter the probability that GAIN or ICCIDD are causing salt iodization that wouldn't have happened anyway.</t>
        </r>
      </text>
    </comment>
    <comment ref="I14" authorId="0">
      <text>
        <r>
          <rPr>
            <sz val="9"/>
            <color indexed="81"/>
            <rFont val="Tahoma"/>
            <family val="2"/>
          </rPr>
          <t>The long term benefits of deworming likely only accrue to children. Short term health benefits likely impact both children and adults.</t>
        </r>
      </text>
    </comment>
    <comment ref="L14" authorId="0">
      <text>
        <r>
          <rPr>
            <sz val="9"/>
            <color indexed="81"/>
            <rFont val="Tahoma"/>
            <family val="2"/>
          </rPr>
          <t>Studies have found that iodine increases IQ, but it is possible that in developing countries increased IQ does not lead to actual improvements in quality of life. (E.g. Baird et al 2012 found no effect of deworming on non-wage earners, even though wage earners were better off, presumably do to some developmental, possibly mental, effects of deworming). Enter the percentage of children who's quality of life you expect will actually benefit from the effects of iodine.</t>
        </r>
      </text>
    </comment>
    <comment ref="I15" authorId="0">
      <text>
        <r>
          <rPr>
            <sz val="9"/>
            <color indexed="81"/>
            <rFont val="Tahoma"/>
            <family val="2"/>
          </rPr>
          <t xml:space="preserve">The long term benefits of deworming likely only accrue to children. Short term health benefits likely impact both children and adults. </t>
        </r>
      </text>
    </comment>
    <comment ref="L15" authorId="0">
      <text>
        <r>
          <rPr>
            <sz val="9"/>
            <color indexed="81"/>
            <rFont val="Tahoma"/>
            <family val="2"/>
          </rPr>
          <t>Note that studies of iodine have found increases in IQ, not wages. Here we use wages for comparison to deworming, relying on an assumption that there is a connection. Enter the expected increase in wages from having sufficient iodine throughout childhood (more specifically, the equivalent wage increase to the IQ benefit you expect).</t>
        </r>
      </text>
    </comment>
    <comment ref="I18" authorId="0">
      <text>
        <r>
          <rPr>
            <sz val="9"/>
            <color indexed="81"/>
            <rFont val="Tahoma"/>
            <family val="2"/>
          </rPr>
          <t>See note on parameters sheet for explanation.</t>
        </r>
      </text>
    </comment>
  </commentList>
</comments>
</file>

<file path=xl/sharedStrings.xml><?xml version="1.0" encoding="utf-8"?>
<sst xmlns="http://schemas.openxmlformats.org/spreadsheetml/2006/main" count="2916" uniqueCount="578">
  <si>
    <t>http://www.princeton.edu/~joha/publications/Haushofer_Shapiro_Policy_Brief_2013.pdf</t>
  </si>
  <si>
    <t>http://www.princeton.edu/~joha/publications/Haushofer_Shapiro_UCT_Online_Appendix_2013.pdf</t>
  </si>
  <si>
    <t>http://www.princeton.edu/~joha/publications/Haushofer_Shapiro_UCT_2013.pdf</t>
  </si>
  <si>
    <t>http://www.givewell.org/node/2218</t>
  </si>
  <si>
    <t>We are uncertain what the prevalence and intensity in the locations where the short term health impact was measured. It seems plausible they were significantly higher than deworming programs today.</t>
  </si>
  <si>
    <t>According to WHO, in countries SCI works, 26% of treatments in 2014 went to adults (which we've rounded to 25% for simplicity). See WHO schistosomiasis treatment gap data</t>
  </si>
  <si>
    <t xml:space="preserve">Horton, Mannar and Wesley 2008 </t>
  </si>
  <si>
    <t>http://files.givewell.org/files/DWDA%202009/Interventions/Iodine/Horton,%20Mannar%20and%20Wesley%202008.pdf</t>
  </si>
  <si>
    <t>Assumes that SCI deworms each child for 10 years, but that only 2.41 (# years in study) are needed to realize benefits (2.41 years from Baird et al 2015, Pg 7)</t>
  </si>
  <si>
    <t>See http://www.givewell.org/international/technical/programs/insecticide-treated-nets#CommunityEffects. The model here is that if X% of the effect comes from individual-level effects, then the "effective coverage" for children under-5 is X%*(coverage for children under 5)+(1-X)%*(community-level coverage)</t>
  </si>
  <si>
    <t>Other sheets show calculations for cash, deworming, and iodine, as well as comparisons with bednets. The named sheets are estimates of individual GiveWell staff, and GW medians sheet uses the median the staff inputs.</t>
  </si>
  <si>
    <t>Miguel and Kremer Deworming DALY calculation (Miguel &amp; Kremer Deworming DALY Calculation Updated 2011.10.28)</t>
  </si>
  <si>
    <t>Uses the decay model discussed in the write-up (see http://www.givewell.org/international/technical/programs/insecticide-treated-nets#Decay)</t>
  </si>
  <si>
    <t>Future distributions (weighted average)</t>
  </si>
  <si>
    <t>Schistosomiasis Control Initiative:</t>
  </si>
  <si>
    <t>Other GiveWell references</t>
  </si>
  <si>
    <t>Top Charities</t>
  </si>
  <si>
    <t>Other cost-effectiveness analyses (including past year's versions)</t>
  </si>
  <si>
    <t>Discussion of cost-effectiveness as a criteria</t>
  </si>
  <si>
    <t>Blog posts discussing cost-effectiveness</t>
  </si>
  <si>
    <t>File published November 2015</t>
  </si>
  <si>
    <t>Percentage of the de facto household population who could sleep under a usable ITN if each ITN in the household were used by an average of 1.8 people, based on AMF's summary pre-distribution survey results for Balaka, Dedza, and Dowa districts in Malawi. The pre-distribution survey summaries can be found on AMF's website https://www.againstmalaria.com/ (see the all distributions page: https://www.againstmalaria.com/Distributions.aspx, and click on a specific distribution to see the documentation for it).</t>
  </si>
  <si>
    <t xml:space="preserve">Percentage of the de facto household population who could sleep under an ITN if each ITN in the household were used by an average of 1.8 people. Based on detailed distribution data from the Kasai Occidental distribution. We have not published this data because it is not anonymized. </t>
  </si>
  <si>
    <t>Weighted avg based on the number of nets we expect AMF to distribute in each country in the future (See Weighted average calculations for future AMF countries)</t>
  </si>
  <si>
    <t>Malawi DHS 2010</t>
  </si>
  <si>
    <t>http://dhsprogram.com/pubs/pdf/FR247/FR247.pdf</t>
  </si>
  <si>
    <t>Weighted avg based on the number of nets we expect AMF to distribute in each country in the future (See Weighted average calculations for future AMF countries). See also Malaria case rate data</t>
  </si>
  <si>
    <t>Calculation. Assumes that everyone in the population is brought to 100% effective coverage, so the % of the benefits that goes to under-5's depends on the pre-existing levels of effective coverage. For a population of 1 for 1 year, (1 - pre-existing ownership) additional person-years of coverage are provided to reach 100% coverage, and (100% - under-5 effective pre-existing ownership)*(under-5 percent of population) additional years of protection are given to children under 5.</t>
  </si>
  <si>
    <t>http://www.givewell.org/node/2552#Whatdoyougetforyourdollar</t>
  </si>
  <si>
    <t>Funding for malaria prevention began to rapidly increase after 2004 (see http://files.givewell.org/files/DWDA%202009/Interventions/Nets/2012%20vet/Malaria%20case%20rate%20and%20death%20rate%20information%20edited.xls from http://blog.givewell.org/2012/10/18/revisiting-the-case-for-insecticide-treated-nets-itns/) thus it is possible that some or much of the mortality decline after 2004 was due to bednets. We have arbitrarily chosen to attribute 25% of the decrease after 2004 to bednets.</t>
  </si>
  <si>
    <t>http://www.givewell.org/files/DWDA%202009/Interventions/Nets/Summary%20of%20ITN%20RCTs.xls</t>
  </si>
  <si>
    <t>(Older version of file)</t>
  </si>
  <si>
    <t>AMF distribution data</t>
  </si>
  <si>
    <t>https://www.againstmalaria.com/Distributions.aspx</t>
  </si>
  <si>
    <t>Click on a specific distribution to see the documentation for it</t>
  </si>
  <si>
    <t>From http://www.givewell.org/node/2267#Improvingmentalfunction: "Fade-out. We are not sure whether the positive effects found in the trials with shorter follow-ups would persist over a longer time horizon.54 It appears that the most prominent discussion of fade-out comes from several long-term evaluations of early childhood education programs, which found that IQ increases fade out over time, though these findings are the subject of dispute.55 We are uncertain to what extent this literature generalizes to iodine supplementation programs. Even if IQ increases fade out, other related benefits may still persist.56"</t>
  </si>
  <si>
    <t>Source/notes (see sheet "Sources" sheet for links)</t>
  </si>
  <si>
    <t>http://www.givewell.org/files/DWDA%202009/Interventions/Cash%20Transfers/Blattman%20et%20al%202013.pdf</t>
  </si>
  <si>
    <t>Link</t>
  </si>
  <si>
    <t>AMF review</t>
  </si>
  <si>
    <t>GiveDirectly review</t>
  </si>
  <si>
    <t>SCI review</t>
  </si>
  <si>
    <t>Deworm the World review</t>
  </si>
  <si>
    <t>http://www.givewell.org/international/top-charities/AMF</t>
  </si>
  <si>
    <t>http://www.givewell.org/international/top-charities/schistosomiasis-control-initiative</t>
  </si>
  <si>
    <t>http://www.givewell.org/international/top-charities/deworm-world-initiative</t>
  </si>
  <si>
    <t>Pre-existing ITN ownership: children under 5 (from DHS)</t>
  </si>
  <si>
    <t>Pre-existing ITN ownership: children aged 5-14 (from DHS)</t>
  </si>
  <si>
    <t>Pre-existing ITN ownership: all (from AMF)</t>
  </si>
  <si>
    <t>Pre-existing ITN ownership: children under 5 (GiveWell estimate)</t>
  </si>
  <si>
    <t>Pre-existing ITN ownership: children aged 5-14 (GiveWell estimate)</t>
  </si>
  <si>
    <t>http://dhsprogram.com/pubs/pdf/MIS18/MIS18.pdf</t>
  </si>
  <si>
    <t>DRC DHS 2013-14</t>
  </si>
  <si>
    <t>Malawi DHS Malaria Indicator Survey 2014, Pg. 15</t>
  </si>
  <si>
    <t>Malawi DHS Malaria Indicator Survey 2014</t>
  </si>
  <si>
    <t>http://dhsprogram.com/pubs/pdf/FR300/FR300.pdf</t>
  </si>
  <si>
    <t>Lengeler 2004</t>
  </si>
  <si>
    <t>http://www.cochrane.org/reviews/en/ab000363.html</t>
  </si>
  <si>
    <t>Additional source/notes</t>
  </si>
  <si>
    <t>GiveWell summary of studies discussed in Lengeler 2004</t>
  </si>
  <si>
    <t>Reduction in effectiveness due to IR. Subjective baseline assumption. 80% pessimistic assumption comes from calculation on the "Bednets-IR" sheet.</t>
  </si>
  <si>
    <t>Best guess, based on the fact that studies of iodine benefits took place in areas of moderate deficiency according to the WHO classification for UIC ("Mild iodine deficiency is defined as a median urinary iodine concentration of 50 to 99 mcg/L, moderate deficiency as 20 to 49 mcg/L, and severe deficiency as &lt;20 mcg/L") (see Table 1  http://www.givewell.org/node/2267#footnoteref15_ia8durp), and conversations with ICCIDD representatives (Gregory Gerasimov and Izzeldin Hussein, unpublished) suggest that ICCIDD is likely to work in Russia, Kyrgyzstan, Ukraine, and Sudan, which have mild or no iodine deficiency. (78,114,90, and 66 mcg/L). However, we have some questions about the reliability of measuring UIC (http://www.givewell.org/node/2267#Howreliableandpredictiveismeasuringurinaryiodinecontent), and ICCIDD/GAIN may also prevent reversion to worse levels of iodine (see http://files.givewell.org/files/DWDA%202009/ICCIDD/ICCIDD%20slides%20Vietnam%202014.pdf) which could be just as good as increasing iodine. Also meant to account for the possibility of implementations in ICCIDD/GAIN countries being not as good as those done in RCTs.</t>
  </si>
  <si>
    <t xml:space="preserve">Arbitrary lower estimate based on the fact that GiveDirectly expects to spend 6-9 million on fundraising over the next several years, which is significantly more than it has spent on fundraising in the past, and may decrease the proportion of its spending that goes to cash transfer costs (although this will depend on how much GiveDirectly raises for transfers). </t>
  </si>
  <si>
    <t>Possibilities (first is not necessarily "best guess")</t>
  </si>
  <si>
    <t>Summary sheet shows GiveWell staff estimates of the cost-effectiveness of various programs, as well as the differences in staff estimates of the inputs.</t>
  </si>
  <si>
    <t>Bednets sheet shows primary calculations for bednet cost-effectiveness.</t>
  </si>
  <si>
    <t>Parameters and Sources sheets have context and further information about the inputs used in the cash, deworming and iodine models.</t>
  </si>
  <si>
    <t>Staff Name</t>
  </si>
  <si>
    <t xml:space="preserve">We adjust the 1999 baseline prevalence (used in our first option) up by .14 based on an estimate of the externality that treatment had on the control group (though it partially relies on a not statistically significant result; an externality adjustment using only the statistically significant result would be .08) (See Miguel and Kremer Deworming DALY calculation, "Effect on Pupils in Untreated Schools"). </t>
  </si>
  <si>
    <t>GiveWell estimate of cost per treatment for Deworm the World's India programs, excluding staff time. See http://www.givewell.org/node/2400#Whatisthecostpertreatment</t>
  </si>
  <si>
    <t>Arbitrary in between guess, e.g. perhaps accounting for it child leaving household or contributing to household income.</t>
  </si>
  <si>
    <t>From http://data.worldbank.org/indicator/SH.DYN.MORT?page=4</t>
  </si>
  <si>
    <t>Ratio of mortality rate in 2015 compared to 1995</t>
  </si>
  <si>
    <t>Ratio of mortality rate in 2004 compared to 1995</t>
  </si>
  <si>
    <t>Adjustment for ratio of current child mortality to historical child mortality when RCTs were conducted. Also see penultimate section of http://blog.givewell.org/2012/10/18/revisiting-the-case-for-insecticide-treated-nets-itns/.</t>
  </si>
  <si>
    <t>http://emiguel.econ.berkeley.edu/assets/miguel_research/64/Worms-at-Work_2015-11-11-Final.pdf</t>
  </si>
  <si>
    <t xml:space="preserve"> Baird et al 2012 (Baird et al 2015 - November does not report this quantity though it appears not to have changed given that the reported number of observations in the analysis of the effect of deworming on wages has not changed)</t>
  </si>
  <si>
    <t>Relative value of year of M&amp;K deworming treatment to development benefits from year of bednet coverage</t>
  </si>
  <si>
    <t>Relative value of year of deworming treatment to development benefits from year of bednet coverage</t>
  </si>
  <si>
    <t>GiveDirectly's estimate of the lifespan of a roof.</t>
  </si>
  <si>
    <t>Prevalence/intensity ratio between M&amp;K and short term health benefit observations</t>
  </si>
  <si>
    <t>Relative value of year of M&amp;K deworming treatment to year of bednet coverage</t>
  </si>
  <si>
    <t>VLSY for baseline consumption</t>
  </si>
  <si>
    <t>Alexander</t>
  </si>
  <si>
    <t>Sean</t>
  </si>
  <si>
    <t>Andrew</t>
  </si>
  <si>
    <t>Tyler</t>
  </si>
  <si>
    <t>Natalie</t>
  </si>
  <si>
    <t>Didn't consider cells in red</t>
  </si>
  <si>
    <t>Tim</t>
  </si>
  <si>
    <t>Elie</t>
  </si>
  <si>
    <t>Holden</t>
  </si>
  <si>
    <t>Yes</t>
  </si>
  <si>
    <t>AB8</t>
  </si>
  <si>
    <t>AB9</t>
  </si>
  <si>
    <t>AB10</t>
  </si>
  <si>
    <t>Emma</t>
  </si>
  <si>
    <t>Leon</t>
  </si>
  <si>
    <t>Milan</t>
  </si>
  <si>
    <t>Rebecca</t>
  </si>
  <si>
    <t>M18</t>
  </si>
  <si>
    <t>GW medians</t>
  </si>
  <si>
    <t>Median of GW staff</t>
  </si>
  <si>
    <t>http://www.givewell.org/files/DWDA 2009/Interventions/Deworming/Cost-effectiveness_for_deworming.xls</t>
  </si>
  <si>
    <t>GiveWell's best guess based on our understanding of how additional donations are likely to be used. It is calculated from the percent of transfers out of total incurred costs through June 2015.</t>
  </si>
  <si>
    <t>Cap adjustment at intuitive maximum?</t>
  </si>
  <si>
    <t>In 2015, staff generally thought less about updates to iodine than the other programs.</t>
  </si>
  <si>
    <t>Appendix 11, 12, pg 51</t>
  </si>
  <si>
    <t>Proportion of effect attributable to physical barrier</t>
  </si>
  <si>
    <t>Weighted mean average</t>
  </si>
  <si>
    <t>Notes from a conversation with Abraham Mnzava state: "A study by Mark Rowland in western Africa found 30-40% of the protective effect of nets to be due to factors other than the mosquitoes being killed. These effects have been documented in numerous studies."</t>
  </si>
  <si>
    <t>Insecticide resistance</t>
  </si>
  <si>
    <t>Average of Malawi and DRC</t>
  </si>
  <si>
    <t>Cost per person-year of protection, adjusted for insecticide resistance: under-14's only</t>
  </si>
  <si>
    <t>Malawi DHS 2010, Pg 155. Modeling usage as 70% of ownership; thus, usage is divided by 70% to get ownership.</t>
  </si>
  <si>
    <t>DRC DHS 2013-14, p 194</t>
  </si>
  <si>
    <t>Weighted average calculations for future AMF countries</t>
  </si>
  <si>
    <t>Malaria case rate data</t>
  </si>
  <si>
    <t>See Bednets sheet</t>
  </si>
  <si>
    <t>GiveWell assumption.</t>
  </si>
  <si>
    <t>-</t>
  </si>
  <si>
    <t>Aggregate adjustment to Baird development effect</t>
  </si>
  <si>
    <t>3. The benefits of cash transfers are calculated:</t>
  </si>
  <si>
    <r>
      <rPr>
        <b/>
        <sz val="8"/>
        <color theme="1"/>
        <rFont val="Calibri"/>
        <family val="2"/>
        <scheme val="minor"/>
      </rPr>
      <t>Input:</t>
    </r>
    <r>
      <rPr>
        <sz val="8"/>
        <color theme="1"/>
        <rFont val="Calibri"/>
        <family val="2"/>
        <scheme val="minor"/>
      </rPr>
      <t xml:space="preserve"> 1 DALY is equivalent to increasing ln(income) by one unit for how many years:</t>
    </r>
  </si>
  <si>
    <r>
      <rPr>
        <b/>
        <sz val="8"/>
        <color theme="1"/>
        <rFont val="Calibri"/>
        <family val="2"/>
        <scheme val="minor"/>
      </rPr>
      <t>Derived:</t>
    </r>
    <r>
      <rPr>
        <sz val="8"/>
        <color theme="1"/>
        <rFont val="Calibri"/>
        <family val="2"/>
        <scheme val="minor"/>
      </rPr>
      <t xml:space="preserve"> Saving a life is worth increasing consumption ~25% for X people (for ~length of career)</t>
    </r>
  </si>
  <si>
    <t>Intuitive estimates. For reference, consider that 3 is similar to considering a permanent 25% increase in income (the developmental gains from deworming) for ~40 people starting in adulthood to be roughly as valuable as saving a life of a young person (reasonably similar to the inverse of the 2.4% figure that was used in DCP2 spreadsheet).</t>
  </si>
  <si>
    <t>Deworm the World is X as cost effective as…</t>
  </si>
  <si>
    <t>SCI is X as cost effective as…</t>
  </si>
  <si>
    <t>Bednets are X as cost effective as…</t>
  </si>
  <si>
    <t>4. Comparisons</t>
  </si>
  <si>
    <t>Cash is X as cost effective as…</t>
  </si>
  <si>
    <t>"Bednets" sheet</t>
  </si>
  <si>
    <t>AB6</t>
  </si>
  <si>
    <t>AB7</t>
  </si>
  <si>
    <t>Adjustment for benefit varying by treatment frequency</t>
  </si>
  <si>
    <t>G11</t>
  </si>
  <si>
    <t>G13</t>
  </si>
  <si>
    <t>W16</t>
  </si>
  <si>
    <t>W17</t>
  </si>
  <si>
    <t>W18</t>
  </si>
  <si>
    <t>(note: some additional columns hidden)</t>
  </si>
  <si>
    <t>Under 5 all mortality rate 1995 in the countries where RCT studies were done -  Burkina Faso, Gambia, Ghana, and Kenya (per 1000)</t>
  </si>
  <si>
    <t>http://data.worldbank.org/indicator/SH.DYN.MORT</t>
  </si>
  <si>
    <t>Under 5 all mortality rate 2004 (per 1000)</t>
  </si>
  <si>
    <t>Decrease 2004-2015 attributed to ITNs</t>
  </si>
  <si>
    <t>Deaths averted per protected child under 5 – adjusted for today's lower rates of child mortality and insecticide resistance</t>
  </si>
  <si>
    <t>Pre-existing ITN ownership: all</t>
  </si>
  <si>
    <t>% of impact of ITNs coming from community-wide effects</t>
  </si>
  <si>
    <t>Effective pre-existing coverage of children under 5</t>
  </si>
  <si>
    <t>Calculation: adds the benefit children under-5 get from the current level of overall coverage to the benefit they get from their individual coverage.</t>
  </si>
  <si>
    <t>Effective pre-existing coverage: children aged 5-14</t>
  </si>
  <si>
    <t># of person-years of protection for children under 5, per person-year of protection for the community as a whole</t>
  </si>
  <si>
    <t># of person-years of protection for children aged 5-14, per person-year of protection for the community as a whole</t>
  </si>
  <si>
    <t>Calculation, similar to directly above.</t>
  </si>
  <si>
    <t>Total amount spent</t>
  </si>
  <si>
    <t>Irrelevant to final cost-per-outcome figure; fill in a number that makes results intuitive</t>
  </si>
  <si>
    <t>Total LLINs distributed</t>
  </si>
  <si>
    <t>Total person-years of protection</t>
  </si>
  <si>
    <t>Total person-years of protection for children under 5</t>
  </si>
  <si>
    <t>Total person-years of protection for children aged 5-14</t>
  </si>
  <si>
    <t>Total deaths averted for children under 5</t>
  </si>
  <si>
    <t>Cost per person-year of protection</t>
  </si>
  <si>
    <t>Cost per person-year of protection: under-5's only</t>
  </si>
  <si>
    <t>Cost per person-year of protection: under-14's only</t>
  </si>
  <si>
    <t>Cost per death averted</t>
  </si>
  <si>
    <t>Controls with no nets</t>
  </si>
  <si>
    <t>Controls with untreated nets</t>
  </si>
  <si>
    <t>Source</t>
  </si>
  <si>
    <t>Proportion of effect attributable to insecticide</t>
  </si>
  <si>
    <t>Studies</t>
  </si>
  <si>
    <t>Outcome</t>
  </si>
  <si>
    <t>Protective Efficacy</t>
  </si>
  <si>
    <t>Number of studies</t>
  </si>
  <si>
    <t>Endemicity</t>
  </si>
  <si>
    <t>Type</t>
  </si>
  <si>
    <t>Data from Lengeler 2004</t>
  </si>
  <si>
    <t>Mortality</t>
  </si>
  <si>
    <t>10-500</t>
  </si>
  <si>
    <t>1-10</t>
  </si>
  <si>
    <t>Comparison 1, pg 42</t>
  </si>
  <si>
    <t>Uncomplicated clinical episodes</t>
  </si>
  <si>
    <t>&gt;1</t>
  </si>
  <si>
    <t>p. falciparum</t>
  </si>
  <si>
    <t>Appendix 7, pg 49</t>
  </si>
  <si>
    <t>&lt;1</t>
  </si>
  <si>
    <t>p. vivax</t>
  </si>
  <si>
    <t>Parasite prevalence</t>
  </si>
  <si>
    <t>Appendix 10, pgs 50-1</t>
  </si>
  <si>
    <t>Outlier</t>
  </si>
  <si>
    <t>High parasitaemia</t>
  </si>
  <si>
    <t>See note for corresponding parameter for DtW. We are unsure to what degree this impact may be relevant to SCI but using DtW adjustments may be plausible. Note, recommended treatment frequency for schisto is less often then STH.</t>
  </si>
  <si>
    <t>Malawi</t>
  </si>
  <si>
    <t>DRC</t>
  </si>
  <si>
    <t>Source/notes</t>
  </si>
  <si>
    <t>Cost per ITN distributed (including delivery)</t>
  </si>
  <si>
    <t>Wastage</t>
  </si>
  <si>
    <t>None - subjective. Note that "Years of protection" assumes a rate of decay of all distributed LLINs of 8% between 0-12 months, meant to account for all factors which might cause distributed nets not to be used.</t>
  </si>
  <si>
    <t>People covered per LLIN</t>
  </si>
  <si>
    <t>Note that the effects noted in Lengeler 2004 do not depend on perfect coverage/usage of ITNs (see GiveWell summary of studies discussed in Lengeler 2004). This calculation uses "Theoretical coverage based on ITNs distributed" rather than "Actual usage" as the key input.</t>
  </si>
  <si>
    <t>Years of protection per person per LLIN</t>
  </si>
  <si>
    <t>Impact of insecticide resistance</t>
  </si>
  <si>
    <t>Percent of population under 5</t>
  </si>
  <si>
    <t>DRC DHS 2013-14, p. 26</t>
  </si>
  <si>
    <t>Percent of population aged 5-14</t>
  </si>
  <si>
    <t>Deaths averted per protected child under 5</t>
  </si>
  <si>
    <t>"The summary rate difference, which expresses how many lives can be saved for every 1000 children protected, was 5.53 deaths averted per 1000 children protected per year (95% CI 3.39 to 7.67; Analysis 1.2). I performed a regression analysis of the natural logarithm of the rate difference on the entomological inoculation rate and could not ?nd a trend (r 2 = 0.52, F = 3.2 on 1,3 degrees of freedom, P = 0.2). In contrast to protective efficacies, the risk differences seemed to have a tendency towards a higher effect with a higher entomological inoculation rate. This apparent paradox is because the baseline mortality rates are higher in areas with high entomological inoculation rates." Lengeler 2004, Pg 8. Author has confirmed that "protection" means "has received an ITN", not "has been confirmed to be using an ITN."</t>
  </si>
  <si>
    <t>Under 5 all mortality rate 2015 (per 1000)</t>
  </si>
  <si>
    <r>
      <t>Suggested values: 81%, 77%, or 71%, based on whether you think the second treatment round per year in a high-prevalence area is responsible for 1/4, 1/3, or 1/2 of the total effect of twice annual treatments in that area.
- This factor can be used to adjust the expected impact of DtW based on differences in treatment frequency between the  programs and those studied in Croke and Miguel &amp; Kremer
- In suggesting these parameters, we assume that reinfection rates are about twice as high in areas with high baseline prevalence (where WHO recommends twice annual MDAs) as areas with lower baseline prevalence (where WHO recommends annual MDAs).
- Further, in high prevalence areas, we imagine that doing twice annual treatments may not be exactly twice as beneficial as annual treatments. Let's say that X portion of benefit from twice annual deworming programs comes from the first treatment, and (1-X) portion comes from the second treatment each year.
With the above assumptions, then after adjusting for prevalence and intensity (row above) and other discounts:
- If an organization treats a high prevalence area twice per year, we should expect similar benefits to the deworming RCTs per-year (at the cost of 2 treatment rounds</t>
    </r>
    <r>
      <rPr>
        <sz val="11"/>
        <color indexed="206"/>
        <rFont val="Calibri"/>
        <family val="2"/>
      </rPr>
      <t>)
- If an organization treats a lower prevalence area once per year, we should expect similar benefits to the deworming RCTs per-year (at the cost of 1 treatment round)
- If an organization treats a high prevalence area once per year, we should expect X portion of the benefits in the deworming RCTS per-year (at the cost of 1 treatment round)
- If an organization adds a second treatment to a pre-existing annual treatment in a high prevalence area (such as when MDAs for Lymphatic Filariasis (LF) are already providing albendazole once per year to the same population), then we should expect (1-X) of the benefits in the deworming RCTs per-year (at the cost of 1 treatment round) Note that this assumes that the two treatments are spaced 6 months apart; in the opposite extreme, if one occurs right after the other, then the effect might be similar to one treatment per year, since little effect would be expected from the second round.
Sub-parameters
We are not aware of any direct evidence on what the value of X is. In the below examples, we use an imagined value of 3/4, 2/3, and 1/2. Note that the value could be less than 1/2.
We guess there might be pre-existing LF MDAs in 10% of the areas that DTW starts programs in the future, such that they would be adding the second treatment. With X as 2/3, this implies that DTW's impact will be 7% less than otherwise expected.
About half of all DTW treatments since 2011 have been in Bihar, which has high prevalence, but in which treatments have only been happening annually, mostly due to the lack of expected annual LF treatments. (see GiveWell analysis of Deworm the World leverage). With X as 2/3, this implies that DTW's impact will be 17% less than otherwise expected.
Multiplying the two discounts together, we suggest values of 77% if X is 2/3, or 71% if it's 1/2, or 81% if it's 3/4.</t>
    </r>
  </si>
  <si>
    <t>Ratio of benefits per dollar to developmental benefits of ITNs per dollar (upper bound on how much more cost-effective the deworming/iodine charity could be)</t>
  </si>
  <si>
    <t>DTW</t>
  </si>
  <si>
    <t>4.Comparison to ITNs:</t>
  </si>
  <si>
    <t>DtW is</t>
  </si>
  <si>
    <t>If and only if you prefer saving a life to increasing ln(income) by 1 unit for this many people for one year, you prefer ITN distribution to DTW:</t>
  </si>
  <si>
    <t>If and only if you prefer saving a life to increasing ln(income) by 1 unit for this many people for one year, you prefer ITN distribution to SCI:</t>
  </si>
  <si>
    <t>If and only if you prefer saving a life to increasing ln(income) by 1 unit for this many people for one year, you prefer ITN distribution to Iodine:</t>
  </si>
  <si>
    <t>From Lopez et al. 2006, Table 5.1 pg 402. This number is the average of male and female life expectancy at age 5, using 3% discounting and standard age weights (valuinge years in the middle of the life cycle more highly).</t>
  </si>
  <si>
    <t>We are uncertain what the prevalence and intensity in the locations where the short term health impact was measured. It seems possible they were comparable to observations in M&amp;K.</t>
  </si>
  <si>
    <t>Ratio of M&amp;K prevalence/intensity relative to observation of short term health benefits</t>
  </si>
  <si>
    <t>Baird et al 2015</t>
  </si>
  <si>
    <t>(Of all our variations of comparing Deworm the World to M&amp;K, this is the least favorable to DtW.) It is the average of the ratio of hookworm and schisto intensity. To see the underlying data, calculations and additional notes, see Intensity of Worms.</t>
  </si>
  <si>
    <t>(Of all our variations of comparing SCI to M&amp;K, this is the least favorable to SCI.) Ratio of the average intensity level (normalized to M&amp;K moderate intensity threshold) for each infection type in SCI's recent program areas compared to M&amp;K. To see the underlying data, calculations and additional notes, see Intensity of Worms.</t>
  </si>
  <si>
    <t>Ratio of the average prevalence level for each infection type in SCI's recent program areas compared to M&amp;K. To see the underlying data, calculations and additional notes, see Intensity of Worms.</t>
  </si>
  <si>
    <t>Ratio of the average intensity level (normalized to M&amp;K moderate intensity threshold) for each infection type in Deworm the World's India programs areas compared to M&amp;K. To see the underlying data, calculations and additional notes, see Intensity of Worms.</t>
  </si>
  <si>
    <t>(Of all our variations of comparing Deworm the World to M&amp;K, this is the most favorable to DtW.) Ratio of the average prevalence level for each infection type in Deworm the World's India program areas compared to M&amp;K. To see the underlying data, calculations and additional notes, see Intensity of Worms.</t>
  </si>
  <si>
    <t>GiveWell analysis of Deworm the World leverage</t>
  </si>
  <si>
    <t>GiveWell estimate of leverage DtW achieved through influencing India to conduct national deworming in states that DtW didn't directly work (assuming 25% credit)</t>
  </si>
  <si>
    <t>Same, assuming no credit</t>
  </si>
  <si>
    <t>Same, assuming 10% credit</t>
  </si>
  <si>
    <t>Same, assuming 50% credit</t>
  </si>
  <si>
    <t>Adjustment for benefit varying by treatment frequency - SCI</t>
  </si>
  <si>
    <t>Adjustment for benefit varying by treatment frequency - DtW</t>
  </si>
  <si>
    <t>1 DALY is equivalent to increasing ln(income) by one unit for how many years:</t>
  </si>
  <si>
    <t>Baird et al 2015, Table 4 Pg 18. Note, this is using Intention-to-Treat effect rather than calculating a Treatment-on-the-Treated effect due to externalities complicating calculation of ToT effects. "The ITT approach is also attractive since previous research showed that untreated respondents within treatment communities experienced significant health and education gains (Miguel and Kremer 2004), complicating estimation of treatment effects on the treated. " (Baird et al 2012 p. 16).</t>
  </si>
  <si>
    <t>Baird et al 2015, Pg 4</t>
  </si>
  <si>
    <t>We average four different comparisons between SCI and M&amp;K: options 2 and 3 (described in following cells) and the same approach as those two options applied to only hookworm and schisto. To see the underlying data, calculations and additional notes, see Intensity of Worms.</t>
  </si>
  <si>
    <t>Same basic approach as Option 1 (averaging across four different comparisons), but first calculating the ratio of each infection type, and then taking the average. This approach may be preferred in certain cases, for example, if one believed all of the effect was due to a single infection type but was uncertain which (so applied equal weights to get an expected value). To see the underlying data, calculations and additional notes, see Intensity of Worms.</t>
  </si>
  <si>
    <t>(Of all our variations of comparing SCI to M&amp;K, this is the most favorable to SCI.) It is the average of the ratio of hookworm and schisto prevalence. To see the underlying data, calculations and additional notes, see Intensity of Worms.</t>
  </si>
  <si>
    <t>We average four different comparisons between Deworm the World and M&amp;K: options 2 and 3 (described in following cells) and the same approach as those two options applied to only hookworm and schisto. To see the underlying data, calculations and additional notes, see Intensity of Worms.</t>
  </si>
  <si>
    <t>We adjust our first option by using an odds ratio, which we believe may be appropriate given that this adjustment is based on prevalence and the appropriate adjustment for intensity may be more extreme.</t>
  </si>
  <si>
    <t>We combine both variations (externality adjustment and odds ratio).</t>
  </si>
  <si>
    <t>(See formulas for each option.) We estimate this magnitude by taking the ratio between the baseline prevalence of any moderate-heavy infection in 1998 (.37 from p. 168) and 1999 (.52 from pg 173), without any adjustment for potential externalities affecting the 1999 prevalence (See Miguel and Kremer 2004).</t>
  </si>
  <si>
    <t>Number of household members that benefit</t>
  </si>
  <si>
    <t>Intuitive judgments of household size and income, since we don't have data on these. 1 conservatively assumes only the recipient of deworming benefits (no other household members).</t>
  </si>
  <si>
    <t>The cost of saving a life through bednets buys you this many person-years of increasing ln(consumption) by 1:</t>
  </si>
  <si>
    <t>Adjusted long term benefits per year of treatment (in terms of ln $), assuming income supports household consumption</t>
  </si>
  <si>
    <t>Present value of the sum of the lifetime benefits per worker (in terms of Ln(income))</t>
  </si>
  <si>
    <t>Adjusted total benefits, per person dewormed (Ln(income))</t>
  </si>
  <si>
    <t>If and only if you prefer saving a life to increasing ln(consumption) by 1 unit for this many people for one year, you prefer bednet distribution to:</t>
  </si>
  <si>
    <t>Your inputs suggest you are indifferent between saving a life and increasing ln(consumption) by 1 unit for this many people:</t>
  </si>
  <si>
    <t>Assumes one additional person (e.g. a child) has the same proportional increase in income.</t>
  </si>
  <si>
    <t>Baird et al. 2015</t>
  </si>
  <si>
    <t>http://papers.ssrn.com/sol3/papers.cfm?abstract_id=2268552</t>
  </si>
  <si>
    <t>http://www.givewell.org/international/top-charities/give-directly#GrantStructure</t>
  </si>
  <si>
    <t>From Lopez et al. 2006, Table 5.1 pg 402. This number is the average of male and female life expectancy at age 5, using 3% discounting and standard age weights (valuing years in the middle of the life cycle more highly).</t>
  </si>
  <si>
    <t>World Bank's "Population between the ages 0 to 14 as a percentage of the total population" in 2014 in Sub-Saharan Africa (developing only) from: http://data.worldbank.org/indicator/SP.POP.0014.TO.ZS/countries/SSA?display=graph (accessed November 2015).</t>
  </si>
  <si>
    <t>D7</t>
  </si>
  <si>
    <t>D10</t>
  </si>
  <si>
    <t>D11</t>
  </si>
  <si>
    <t>G7</t>
  </si>
  <si>
    <t>G8</t>
  </si>
  <si>
    <t>G9</t>
  </si>
  <si>
    <t>G10</t>
  </si>
  <si>
    <t>D14</t>
  </si>
  <si>
    <t>D16</t>
  </si>
  <si>
    <t>G14</t>
  </si>
  <si>
    <t>G16</t>
  </si>
  <si>
    <t>G18</t>
  </si>
  <si>
    <t>J7</t>
  </si>
  <si>
    <t>J8</t>
  </si>
  <si>
    <t>J9</t>
  </si>
  <si>
    <t>J10</t>
  </si>
  <si>
    <t>J11</t>
  </si>
  <si>
    <t>J14</t>
  </si>
  <si>
    <t>J15</t>
  </si>
  <si>
    <t>J16</t>
  </si>
  <si>
    <t>J17</t>
  </si>
  <si>
    <t>J18</t>
  </si>
  <si>
    <t>Prevalence/ intensity adjustment</t>
  </si>
  <si>
    <t>Leverage (dollar of impact per dollar spent)</t>
  </si>
  <si>
    <t>Cost per person dewormed</t>
  </si>
  <si>
    <t>Your preference:</t>
  </si>
  <si>
    <t>Ratio of benefits per dollar to developmental benefits of ITNs per dollar (upper bound on how much more cost-effective charity could be than bednets)</t>
  </si>
  <si>
    <t>Deworm the World is</t>
  </si>
  <si>
    <t>GiveWell Household size analysis</t>
  </si>
  <si>
    <t>http://www.givewell.org/files/DWDA%202009/GiveDirectly/household%20size%20analysis.xls</t>
  </si>
  <si>
    <t>4. Alternate comparison to bednets:</t>
  </si>
  <si>
    <t>Adjustment to calculations</t>
  </si>
  <si>
    <t>No</t>
  </si>
  <si>
    <t>Intuitive maximum adjustment:</t>
  </si>
  <si>
    <t>Cap adjustment at intuitive maximum?:</t>
  </si>
  <si>
    <t>5. Intuition checks/adjustments:</t>
  </si>
  <si>
    <t>Deworming adjustments</t>
  </si>
  <si>
    <t>Comparing deworming benefits to lives saved:</t>
  </si>
  <si>
    <t>Outputs</t>
  </si>
  <si>
    <t>I34</t>
  </si>
  <si>
    <t>R37</t>
  </si>
  <si>
    <t>S29</t>
  </si>
  <si>
    <t>S30</t>
  </si>
  <si>
    <t>S31</t>
  </si>
  <si>
    <t>If and only if you prefer saving a life to increasing ln(income) by 1 unit (i.e., doubling income) for this many people for one year, you prefer bednet distribution to:</t>
  </si>
  <si>
    <t>Inputs</t>
  </si>
  <si>
    <r>
      <t xml:space="preserve">We expect iodine to give a .25 SD increase in IQ, which is roughly 4 IQ points (from Salt Iodization Intervention Report http://www.givewell.org/international/technical/programs/salt-iodization#IQandlifeoutcomes). From DCP2 page 1100: ""For the United States, Zax and Rees (2002) estimate conser- vatively that an increase in IQ of 1 SD is associated with an increase in wages of more than 11 percent, falling to 6 percent when controlling for other covariates. Similar estimates for the relationship between IQ and earnings have been made for Indonesia (Behrman and Deolalikar 1995) and Pakistan (Alderman and others 1997) and in a review of developing countries (Glewwe 2002). In South Africa, an increase of 1 SD in literacy and numeracy scores was associated with a 35 percent increase in wages (Moll 1998). Extrapolating these results, a 0.25 SD increase in IQ, which is a conservative estimate of the benefit resulting from a school health intervention, would lead to an increase in wages of from 5 to 10 percent." http://www.ncbi.nlm.nih.gov/books/NBK11783/. /// Also see </t>
    </r>
    <r>
      <rPr>
        <i/>
        <sz val="11"/>
        <color theme="1"/>
        <rFont val="Calibri"/>
        <family val="2"/>
        <scheme val="minor"/>
      </rPr>
      <t>IQ in the Production Function: Evidence from Immigrant Earnings</t>
    </r>
    <r>
      <rPr>
        <sz val="11"/>
        <color theme="1"/>
        <rFont val="Calibri"/>
        <family val="2"/>
        <scheme val="minor"/>
      </rPr>
      <t>by Jones and Schneider (2008): In a variety of previous studies, the semi-elasticity of wages (denoted γ) has been close to 1%: Thus, 1 IQ point is associated with 1% higher wages, and a one-standard-deviation rise in IQ is associated with about a 1% [Typo] rise in wages.[4]...We take γ = 1% as reasonable estimate of best-practice labor econometric work; U.S. estimates often run a bit larger, while developing country estimates and estimates that control for education often run a bit smaller."</t>
    </r>
  </si>
  <si>
    <t>http://www.givewell.org/international/technical/programs/salt-iodization#Improvingmentalfunction</t>
  </si>
  <si>
    <t>http://www.ipc.umich.edu/mckenzie-ghana-edts-11-18-2010.pdf</t>
  </si>
  <si>
    <t>http://siteresources.worldbank.org/DEC/Resources/Experimental_Evidence_on_Returns_to_Capital_and_Access_to_Finance_in-Mexico.pdf</t>
  </si>
  <si>
    <t>http://qje.oxfordjournals.org/content/123/4/1329.short</t>
  </si>
  <si>
    <t>Deworm the World's programs target children. Adults are sometimes treated, but as far as we know, our cost per treatment estimates are based only on the number of children treated and include the total costs (so no further adjustment is needed).</t>
  </si>
  <si>
    <t>http://www.givewell.org/international/top-charities/deworm-world-initiative#leverage</t>
  </si>
  <si>
    <t>Probability that GAIN/IGN has an impact</t>
  </si>
  <si>
    <t>http://www.givewell.org/international/top-charities/schistosomiasis-control-initiative#Whatdoyougetforyourdollar and https://docs.google.com/spreadsheets/d/1ER-tHrewjZ-JFJnI7Urg1hJBP2XwcnQ4mt_ZKvb9ZHM/edit#gid=0</t>
  </si>
  <si>
    <r>
      <t>http://www.givewell.org/international/top-charities/schistosomiasis-control-initiative#baseline</t>
    </r>
    <r>
      <rPr>
        <sz val="10"/>
        <rFont val="Arial"/>
        <family val="2"/>
      </rPr>
      <t>;see http://www.givewell.org/international/technical/programs/deworming/reanalysis#Externalvalidity for Miguel and Kremer data (but note that's rate of moderate-to-heavy infections, not any infection; underlying data on any infection and epg is unpublished)</t>
    </r>
  </si>
  <si>
    <t>http://www.givewell.org/international/top-charities/deworm-world-initiative#Whatisthecostpertreatment</t>
  </si>
  <si>
    <t>http://www.givewell.org/international/top-charities/deworm-world-initiative#comparison</t>
  </si>
  <si>
    <t>WHO schistosomiasis treatment gap data</t>
  </si>
  <si>
    <t>Rough midpoint of next two options</t>
  </si>
  <si>
    <t>Same as first option but excludes drug costs and government contributions (e.g. teacher time). See GiveWell analysis of SCI's cost per treatment</t>
  </si>
  <si>
    <t>Same as first option but excludes drug costs.  See GiveWell analysis of SCI's cost per treatment</t>
  </si>
  <si>
    <t>It is unclear to what extent SCI leverages government funds, if at all. (Note that the cost per treatment alternatives above allow for different perspectives on whether to count drug donations or government in-kind costs.)</t>
  </si>
  <si>
    <t>GiveWell estimate of total cost per treatment for Deworm the World's Kenya program, including drug costs and assuming government contributions (e.g. teacher time) account for 30% of total cost. See GiveWell analysis of Deworm the World cost per treatment.</t>
  </si>
  <si>
    <t>Same as first option but excludes drug costs and government contributions (e.g. teacher time). See GiveWell analysis of Deworm the World cost per treatment.</t>
  </si>
  <si>
    <t>Same as first option but excludes drug costs. See GiveWell analysis of Deworm the World cost per treatment.</t>
  </si>
  <si>
    <t>Roof ROI in http://files.givewell.org/files/DWDA%202009/Interventions/Cash%20Transfers/haushofer_shapiro_uct_2013.11.16.pdf, pg. 34.</t>
  </si>
  <si>
    <t>Aggressive; average of lower and upper bounds from RCTs (see below on this sheet). Note that this is similar to the 48% investment return found from a survey that GiveDirectly shared with us in 2014 (more: http://www.givewell.org/international/technical/programs/cash-transfers#AvariantofGiveDirectly).</t>
  </si>
  <si>
    <t xml:space="preserve">Arbitrary high upper estimate, since Haushofer and Shapiro 2013 reports that "most respondents were unable to put an upper bound on the durability of metal roofs." (http://files.givewell.org/files/DWDA%202009/Interventions/Cash%20Transfers/haushofer_shapiro_uct_2013.11.16.pdf, pg. 34) </t>
  </si>
  <si>
    <t xml:space="preserve">Percent of transfers out of total incurred costs plus future campaign costs for current campaigns through December 2016. Note that this estimate likely does not include all of GiveDirectly's spending in 2016, because GiveDirectly told us that it expected to run out of its unallocated funds by February 2016 (this estimate does not include funds that GiveDirectly will receive over the 2015 giving season). </t>
  </si>
  <si>
    <t>Intensity of worms</t>
  </si>
  <si>
    <t>https://docs.google.com/spreadsheets/d/1ER-tHrewjZ-JFJnI7Urg1hJBP2XwcnQ4mt_ZKvb9ZHM/edit#gid=0</t>
  </si>
  <si>
    <t>GiveWell analysis of SCI's cost per treatment</t>
  </si>
  <si>
    <t>GiveWell analysis of Deworm the World cost per treatment</t>
  </si>
  <si>
    <t>GiveWell estimate of total cost per treatment for SCI's recent programs, including drug costs and assuming government contributions (e.g. teacher time) account for 30% of total cost. See GiveWell analysis of SCI's cost per treatment</t>
  </si>
  <si>
    <t>http://www.givewell.org/international/charities/GAIN</t>
  </si>
  <si>
    <t>Taken from Haushofer and Shapiro study</t>
  </si>
  <si>
    <t>http://www.givewell.org/international/top-charities/give-directly#CashRatios</t>
  </si>
  <si>
    <t>Assumes national campaign won't be able to reach the whole country (possibly due to households not consuming salt, some producers not iodizing, rural areas being hard to reach with iodized salt, or other reasons). Our understanding is that cost per person per year is calculated using total population, not population reached (see http://www.givewell.org/node/2267#footnoteref152_iol879z), hence this adjustment.</t>
  </si>
  <si>
    <t>Slightly lower than GiveDirectly's estimate of the lifespan of a roof (http://blog.givewell.org/2012/12/19/cost-effectiveness-of-nets-vs-deworming-vs-cash-transfers/)</t>
  </si>
  <si>
    <t>"Salt iodization, small plants", Table 1, Horton, Mannar and Wesley 2008, Pg. 22 http://files.givewell.org/files/DWDA%202009/Interventions/Iodine/Horton,%20Mannar%20and%20Wesley%202008.pdf</t>
  </si>
  <si>
    <t>SCI Treatment Numbers (October 2014)</t>
  </si>
  <si>
    <t>http://www.givewell.org/files/DWDA%202009/SCI/SCI%20treatment%20numbers%20(October%202014).xlsx</t>
  </si>
  <si>
    <t>Based on SCI Treatment Numbers (October 2014). In the "totals" column, the percentage of treatments not marked for adults is 90.59%. Assuming that rows that don't specify "adult" are for children, based on case studies of Uganda ( http://files.givewell.org/files/conversations/Yolisa%20Nalule%2010-14-14%20(Public).pdf), Cote d'Ivoire (http://files.givewell.org/files/conversations/Sarah%20Nogaro%2010-16-14%20(public).pdf), Ethiopia  (http://files.givewell.org/files/conversations/Michael%20French%2010-15-14%20(Public).pdf) and Mozambique (Unpublished) which demonstrate that all treatments in those countries were for school aged children.</t>
  </si>
  <si>
    <t>Probabilty DtW has an impact</t>
  </si>
  <si>
    <t>Conservative guess, adjusted downward from the roof ROI calculation (see below on this sheet) due to not knowing survey methodology and inconsistent results, see: http://www.givewell.org/node/2360#AvariantofGiveDirectly</t>
  </si>
  <si>
    <t>Very conservative - assumes negative return after discounting</t>
  </si>
  <si>
    <t>GiveWell's calculated roof ROI</t>
  </si>
  <si>
    <t>Best guess based on balancing self reported data on spending from Give Directly follow-up surveys (http://www.givewell.org/node/2361#Datafromfollowupsurveys) in which investments in buildings, land, livestock, and businesses typically account for ~70% of spending with the RCT results which have investments as $463.33 (USD PPP) (within villages, or $544 across villages) on a transfer of $1,520 USDPPP (i.e. about 1/3 of the total: http://www.princeton.edu/~joha/publications/Haushofer_Shapiro_UCT_Online_Appendix_2013.pdf; see http://www.princeton.edu/~joha/publications/Haushofer_Shapiro_UCT_2013.pdf for total transfer size)</t>
  </si>
  <si>
    <t>Optimistic, assumes benefits persist throughout the worker's career. Used in Worms at Work spreadsheet</t>
  </si>
  <si>
    <t>Duration of long term benefits of deworming (years) - also used for iodine</t>
  </si>
  <si>
    <t>Duration of long term benefits in years (also used for iodine)</t>
  </si>
  <si>
    <t>Pessimistic (although not extremely so - wage effects from Baird et al. 2012 were only measured at a single time), assumes wage benefits for workers only last one decade.</t>
  </si>
  <si>
    <t>Between pessimistic and optimistic</t>
  </si>
  <si>
    <t>http://data.worldbank.org/indicator/SP.POP.0014.TO.ZS/countries/SSA?display=graph</t>
  </si>
  <si>
    <t>No leverage. Assumes ICCIDD/GAIN don't get governments to spend additional money on iodine programs than they would have otherwise. See http://www.givewell.org/international/charities/GAIN#FourcasestudiesofGAINsUSIwork; on average, GAIN seems to spend around $0.08 per additional person iodized, which suggests no leverage.</t>
  </si>
  <si>
    <t>Optimistic. Assumes ICCIDD/GAIN get governments to spend additional money on iodine programs.</t>
  </si>
  <si>
    <t>Similar to deworming: assumes only wage earners and a minority of others will experience an increase in well-being thanks to IQ benefits of iodine</t>
  </si>
  <si>
    <t>Assumes that having iodine throughout childhood has a higher IQ/wage effect than has been found in the studies (which lasted 1-2 years)</t>
  </si>
  <si>
    <t>The average of the effect size (in standard deviations) estimated by Gordon et al 2009 and Zimmermann et al 2006 is 0.24, which equates to 3.6 IQ points. Assuming a little less than a 1% increase in wages with every 1 point increase in IQ, say a 0.75% increase, then an increase of 3.6 IQ points would lead to a 2.7% (0.24*15*.0075) increase in wages (15 is the size of one standard deviation)</t>
  </si>
  <si>
    <t>I25</t>
  </si>
  <si>
    <t>G29</t>
  </si>
  <si>
    <t>I31</t>
  </si>
  <si>
    <t>I32</t>
  </si>
  <si>
    <t>I33</t>
  </si>
  <si>
    <t>Slightly higher than midpoint due to Croke 2014 increasing likelihood that the effects found by Miguel and Kremer 2014 are replicable</t>
  </si>
  <si>
    <t>IQ gain from iodine from studies (~4 IQ points, or a quarter of a standard deviation) is an average across the population</t>
  </si>
  <si>
    <t>Discussion of Croke 2014</t>
  </si>
  <si>
    <t>http://blog.givewell.org/2014/10/03/a-promising-study-on-the-long-term-effects-of-deworming/</t>
  </si>
  <si>
    <t>Cost per life saved, bednets</t>
  </si>
  <si>
    <t>Use dropdown menus to select values, or input your own. See "Parameters" sheet for explanation of possible values. See comments on inputs for description.</t>
  </si>
  <si>
    <t>Other inputs (suggested values for these are slightly less  subjective)</t>
  </si>
  <si>
    <t>"Salt iodization, large producers", Table 1, Horton, Mannar and Wesley 2008, Pg. 22 http://files.givewell.org/files/DWDA%202009/Interventions/Iodine/Horton,%20Mannar%20and%20Wesley%202008.pdf</t>
  </si>
  <si>
    <t>Average</t>
  </si>
  <si>
    <t>Higher than deworming because there have been 6 RCTs (but &lt;100% because there are some potential limitations of the studies)</t>
  </si>
  <si>
    <t>Pessimistic</t>
  </si>
  <si>
    <t>Optimistic</t>
  </si>
  <si>
    <t>Proportion of dewormed children that benefit from long term gains</t>
  </si>
  <si>
    <t>Baird et al 2012 only found a lasting effect in the group of 16.6% of people that ended up working for wages as adults</t>
  </si>
  <si>
    <t>While Baird et al 2012 found effects only for the 16.6% of wage earners, Croke found an increase in test scores for dewormed children, suggesting that there might be long-term mental benefits that may accrue to more than just wage-earners.</t>
  </si>
  <si>
    <t>DCP2 spreadsheet, "Average" of scenarios, health impacts: % of people impacted times disability weight. Meant to be the percentage of people who benefit multiplied by the disability weight (which represents a # of DALYs) to get the DALYs gained per pill distributed. Since deworming happens every year the length of time for this benefit is just the single year.</t>
  </si>
  <si>
    <t>No fade out effect</t>
  </si>
  <si>
    <t>Significant fade out effect.</t>
  </si>
  <si>
    <t>From our report on GAIN (http://www.givewell.org/international/charities/GAIN): "We have not seen compelling evidence that rates of salt iodization have increased in the countries GAIN has worked in nor that observed changes should be attributed to GAIN's work. We have looked more closely at four case studies, but the information we have is not fully compelling, in part because GAIN's work is often a few steps removed from the iodization process and because we have only a limited understanding of GAIN's role in each country. "</t>
  </si>
  <si>
    <t>Assumption to account for possibility that increased IQ doesn't lead to a meaningful increase in well-being in impoverished areas</t>
  </si>
  <si>
    <t>http://www.givewell.org/international/technical/programs/cash-transfers/#Whatreturnoninvestmentdocashtransferrecipientsearn</t>
  </si>
  <si>
    <t>http://www.givewell.org/international/technical/programs/deworming/reanalysis#Externalvalidity</t>
  </si>
  <si>
    <t>Unpublished</t>
  </si>
  <si>
    <t>Worms at Work Spreadsheet (worms-at-work_Table 4_2012-08-02_final)</t>
  </si>
  <si>
    <t>Original AMF data available here: http://www.againstmalaria.com/FinancialInformation.aspx</t>
  </si>
  <si>
    <t>http://www.givewell.org/files/DWDA%202009/Interventions/Nets/GiveWell%20net%20cost%20estimates%202013.xls</t>
  </si>
  <si>
    <r>
      <t xml:space="preserve">Leverage (dollar of impact per dollar spent) - </t>
    </r>
    <r>
      <rPr>
        <b/>
        <i/>
        <sz val="8"/>
        <color theme="1"/>
        <rFont val="Calibri"/>
        <family val="2"/>
        <scheme val="minor"/>
      </rPr>
      <t>DtW</t>
    </r>
  </si>
  <si>
    <r>
      <t xml:space="preserve">Leverage (dollar of impact per dollar spent) - </t>
    </r>
    <r>
      <rPr>
        <b/>
        <i/>
        <sz val="8"/>
        <color theme="1"/>
        <rFont val="Calibri"/>
        <family val="2"/>
        <scheme val="minor"/>
      </rPr>
      <t>SCI</t>
    </r>
  </si>
  <si>
    <t>Leverage (dollar of impact per dollar spent) - SCI</t>
  </si>
  <si>
    <t>Leverage (dollar of impact per dollar spent) - DtW</t>
  </si>
  <si>
    <t>Iodine</t>
  </si>
  <si>
    <t>Replicability</t>
  </si>
  <si>
    <t>External validity</t>
  </si>
  <si>
    <t>Benefit on one year's income (discounted back 10 years because of delay between deworming and working for income)</t>
  </si>
  <si>
    <t>Sum of the long term benefits per year of treatment (in terms of Ln(income))</t>
  </si>
  <si>
    <t>Short term health benefits (deworming only) in terms of Ln(income)</t>
  </si>
  <si>
    <t>Iodine:</t>
  </si>
  <si>
    <t>Cost per person per year</t>
  </si>
  <si>
    <t>Probability that GAIN/ICCIDD has an impact</t>
  </si>
  <si>
    <t>Household coverage achieved</t>
  </si>
  <si>
    <t>% of children that benefit</t>
  </si>
  <si>
    <t>Years of Childhood (for iodine)</t>
  </si>
  <si>
    <t>By definition</t>
  </si>
  <si>
    <t>Equivalent increase in wages from having iodine throughout childhood</t>
  </si>
  <si>
    <t>Percent of population under 15</t>
  </si>
  <si>
    <t>% of benefit of iodine that lasts for the long term</t>
  </si>
  <si>
    <t>Leverage (dollars of impact per dollars spent)</t>
  </si>
  <si>
    <t xml:space="preserve">Iodine is </t>
  </si>
  <si>
    <t>1. Inputs:</t>
  </si>
  <si>
    <t>2. Calculations:</t>
  </si>
  <si>
    <t>3. Conclusions:</t>
  </si>
  <si>
    <t>Benefits of Deworming</t>
  </si>
  <si>
    <t>Benefits of Iodine</t>
  </si>
  <si>
    <t>2. The adjusted benefits of deworming (for DtW and SCI separately) and iodine are calculated based on relevant factors:</t>
  </si>
  <si>
    <t>3.  Equivalent lives saved by deworming and iodine are calculated:</t>
  </si>
  <si>
    <t>4. The benefits of cash transfers are calculated:</t>
  </si>
  <si>
    <t>Net Cost spreadsheet</t>
  </si>
  <si>
    <t>Best guess; based on general returns to investment</t>
  </si>
  <si>
    <t>Adjusting for the fact that worm prevalence was much higher in the area of study in year 2 of Miguel and Kremer 2004 than in year 1 (likely from El Nino effects)</t>
  </si>
  <si>
    <t>Short term health benefits, in DALY terms</t>
  </si>
  <si>
    <t>Replicability adjustment (applies to deworming but not cash)</t>
  </si>
  <si>
    <t>Lower end of Ioannidis 2005's theoretical replicability (Table 4 in http://www.plosmedicine.org/article/info:doi/10.1371/journal.pmed.0020124): "Underpowered but well-performed Phase I/II RCT"</t>
  </si>
  <si>
    <t>High end of Ioannidis 2005's theoretical replicability (Table 4 in http://www.plosmedicine.org/article/info:doi/10.1371/journal.pmed.0020124): "Adequately powered RCT with little bias and 1:1 pre-study odds"</t>
  </si>
  <si>
    <t>Increased asset value, large transfer, PPP</t>
  </si>
  <si>
    <t>Increased monthly consumption, large transfer, PPP</t>
  </si>
  <si>
    <t>Estimated roof IRR, assuming 20 year lifetime</t>
  </si>
  <si>
    <t>Simple roof IRR, assuming infinite lifetime</t>
  </si>
  <si>
    <t>Calculation</t>
  </si>
  <si>
    <t>Reported roof ROI</t>
  </si>
  <si>
    <t>Based on the idea that research findings are often not replicable</t>
  </si>
  <si>
    <t>Moderately conservative</t>
  </si>
  <si>
    <t>Moderately aggressive</t>
  </si>
  <si>
    <t>Discounted to the present</t>
  </si>
  <si>
    <t>Name</t>
  </si>
  <si>
    <t>I21</t>
  </si>
  <si>
    <t>DALYs per life</t>
  </si>
  <si>
    <t>Lives saved per $1000 - excluding minor health benefits</t>
  </si>
  <si>
    <t>Lives saved per $1000 - minor health benefits</t>
  </si>
  <si>
    <t>Lives saved per $1000 - total</t>
  </si>
  <si>
    <t>Relative value of developmental benefits to saving a life</t>
  </si>
  <si>
    <t>% of years of childhood in which deworming is helpful for development</t>
  </si>
  <si>
    <t xml:space="preserve">Cost per life saved for bednets </t>
  </si>
  <si>
    <t>Present value of the sum of future benefits from cash transfers (ln income)</t>
  </si>
  <si>
    <t>Lopez et al. 2006</t>
  </si>
  <si>
    <t>Baird et al. 2012</t>
  </si>
  <si>
    <t>http://www.givewell.org/files/DWDA%202009/Interventions/Global%20Burden%20of%20Disease%20and%20Risk%20Factors.pdf</t>
  </si>
  <si>
    <t>Cost per equivalent life saved</t>
  </si>
  <si>
    <t>I22</t>
  </si>
  <si>
    <t>I23</t>
  </si>
  <si>
    <t>I24</t>
  </si>
  <si>
    <t>___ times as cost effective as cash transfers</t>
  </si>
  <si>
    <t>Annual cost of repairs and replacements for a thatched roof, USD PPP</t>
  </si>
  <si>
    <t>For more, see:</t>
  </si>
  <si>
    <t>Assumes that every year of deworming is as beneficial as each year in the study</t>
  </si>
  <si>
    <t>http://www.plosmedicine.org/article/info:doi/10.1371/journal.pmed.0020124</t>
  </si>
  <si>
    <t>Ioannidis 2005, "Why Most Published Research Findings Are False"</t>
  </si>
  <si>
    <t>ALB analysis.html</t>
  </si>
  <si>
    <r>
      <t xml:space="preserve">Proportion of work not already taken care of by LF treatment - </t>
    </r>
    <r>
      <rPr>
        <b/>
        <i/>
        <sz val="8"/>
        <color theme="1"/>
        <rFont val="Calibri"/>
        <family val="2"/>
        <scheme val="minor"/>
      </rPr>
      <t>DtW</t>
    </r>
  </si>
  <si>
    <t>Accounts for the fact that in some places in which DtW works, treatment for Lymphatic Filariasis, which uses similar drugs, may render DtW's work unnecessary</t>
  </si>
  <si>
    <t>Years of treatment assigned in the Miguel and Kremer 2004 study</t>
  </si>
  <si>
    <r>
      <t xml:space="preserve">Treatment effect of deworming on </t>
    </r>
    <r>
      <rPr>
        <sz val="11"/>
        <color indexed="8"/>
        <rFont val="Calibri"/>
        <family val="2"/>
        <scheme val="minor"/>
      </rPr>
      <t>Ln(Total labor earnings), monthly</t>
    </r>
  </si>
  <si>
    <t>Derived using the fact that the authors equate 1085 USD with 1,525 PPP</t>
  </si>
  <si>
    <t>Control group household monthly consumption, USD PPP</t>
  </si>
  <si>
    <t>Control group household monthly consumption, USD</t>
  </si>
  <si>
    <t>Long-term ROI of cash transfers - evidence from randomized controlled trials</t>
  </si>
  <si>
    <t>For links to these RCTs of cash transfers, see:</t>
  </si>
  <si>
    <t>and:</t>
  </si>
  <si>
    <t>Combines certain of the studies (see formula in cell)</t>
  </si>
  <si>
    <t>These results have been divided by two in both cases to account for the fact that only male business owners experienced benefits. Monthly result multiplied by 12.</t>
  </si>
  <si>
    <t>High attrition, some issues with identification, and limited sample (including only men). Monthly result multiplied by 12.</t>
  </si>
  <si>
    <t>Same as deworming</t>
  </si>
  <si>
    <t>Low end estimate</t>
  </si>
  <si>
    <t>DCP2 Spreadsheet</t>
  </si>
  <si>
    <t>Same as Possibility 1 but 3% discount rate</t>
  </si>
  <si>
    <t>Same as Possibility 1 but 0% discount rate</t>
  </si>
  <si>
    <t>Proportion of work not already taken care of by LF treatment - SCI</t>
  </si>
  <si>
    <t>This adjustment is more important for DtW, but there is some possibility of SCI's work overlapping with existing LF treatment</t>
  </si>
  <si>
    <t>Year</t>
  </si>
  <si>
    <t>Initial balance</t>
  </si>
  <si>
    <t>Cash flow from initial spending</t>
  </si>
  <si>
    <t>Cash flow from investment return</t>
  </si>
  <si>
    <t>End of year balance</t>
  </si>
  <si>
    <t>Total annual additional income</t>
  </si>
  <si>
    <t>Total annual income in ln terms</t>
  </si>
  <si>
    <t>"Cost Effectiveness of LLIN Distribution" spreadsheet</t>
  </si>
  <si>
    <t>Sum of benefits from year 1 onward</t>
  </si>
  <si>
    <t>Shared</t>
  </si>
  <si>
    <t>Discount Rate</t>
  </si>
  <si>
    <t>Arbitrary low assumption</t>
  </si>
  <si>
    <t>External validity adjustment for deworming research</t>
  </si>
  <si>
    <t>http://www.givewell.org/files/DWDA%202009/Interventions/Deworming/Miguel%20Kremer%20Worms%20-%20Identifying%20Impacts%20on%20Education%20and%20Health%20in%20the%20Presence%20of%20Treatment%20Externalities.pdf</t>
  </si>
  <si>
    <t>Proportion of child-years that are as helpful (in terms of developmental effects) as the specific years in the study  for deworming</t>
  </si>
  <si>
    <t>SCI-specific</t>
  </si>
  <si>
    <t>Cost per person</t>
  </si>
  <si>
    <t>Proportion of deworming going to children</t>
  </si>
  <si>
    <t>Prevalence/intensity adjustment</t>
  </si>
  <si>
    <t>DtW-specific</t>
  </si>
  <si>
    <t>Deworming</t>
  </si>
  <si>
    <t>Duration of benefits in years</t>
  </si>
  <si>
    <t>http://www.givewell.org/international/top-charities/give-directly</t>
  </si>
  <si>
    <t>Average family size</t>
  </si>
  <si>
    <t>Baseline annual consumption per capita, USD</t>
  </si>
  <si>
    <t>Cost per death averted, total cost, baseline scenario</t>
  </si>
  <si>
    <t>Cost per person-year of protection: under-14's only, total cost, baseline scenario</t>
  </si>
  <si>
    <t>Large transfer size, USD</t>
  </si>
  <si>
    <t>Small transfer size, USD</t>
  </si>
  <si>
    <t>PPP multiplier</t>
  </si>
  <si>
    <t>Large transfer size population (HH)</t>
  </si>
  <si>
    <t>Small transfer population (HH)</t>
  </si>
  <si>
    <t>Mean transfer, USD</t>
  </si>
  <si>
    <t>Mean transfer, USD PPP</t>
  </si>
  <si>
    <t>Roof cost, USD PPP</t>
  </si>
  <si>
    <t>Control group per capita monthly consumption, USD</t>
  </si>
  <si>
    <t>Control group per capita annual consumption, USD</t>
  </si>
  <si>
    <t>Min</t>
  </si>
  <si>
    <t>Max</t>
  </si>
  <si>
    <t>http://www.givewell.org/international/technical/programs/cash-transfers#Whatreturnoninvestmentdocashtransferrecipientsearn</t>
  </si>
  <si>
    <t>Gertler, Martinez, and Rubio-Codina (2012)</t>
  </si>
  <si>
    <t>de Mel, McKenzie, and Woodruff </t>
  </si>
  <si>
    <t>Fafchamps et al. (2011)</t>
  </si>
  <si>
    <t>ROI was not explicitly estimated, but likely would have been statistically indistinguishable from 0</t>
  </si>
  <si>
    <t>McKenzie and Woodruff 2008</t>
  </si>
  <si>
    <t>Blattman, Fiala, and Martinez 2013</t>
  </si>
  <si>
    <t>Blattman et al 2013</t>
  </si>
  <si>
    <t>Preferred estimate</t>
  </si>
  <si>
    <t>Percentage of transfers invested</t>
  </si>
  <si>
    <t>http://www.givewell.org/files/DWDA%202009/Interventions/Deworming/MK%20Reanalysis/KLPS-Labor_2012-08-05.pdf</t>
  </si>
  <si>
    <t>Miguel and Kremer 2004</t>
  </si>
  <si>
    <t>Discount rate</t>
  </si>
  <si>
    <t>Duration of benefits of cash transfers (years)</t>
  </si>
  <si>
    <t>Short term health benefits of deworming (DALYs per person treated)</t>
  </si>
  <si>
    <t>ROI, cash transfers</t>
  </si>
  <si>
    <t>External validity of deworming research</t>
  </si>
  <si>
    <t>% of transfers invested</t>
  </si>
  <si>
    <t>Replicability adjustment for  deworming</t>
  </si>
  <si>
    <r>
      <t xml:space="preserve">Cost per person dewormed - </t>
    </r>
    <r>
      <rPr>
        <b/>
        <i/>
        <sz val="8"/>
        <color indexed="8"/>
        <rFont val="Calibri"/>
        <family val="2"/>
      </rPr>
      <t>SCI</t>
    </r>
  </si>
  <si>
    <r>
      <t xml:space="preserve">Prevalence/ intensity adjustment - </t>
    </r>
    <r>
      <rPr>
        <b/>
        <i/>
        <sz val="8"/>
        <color indexed="8"/>
        <rFont val="Calibri"/>
        <family val="2"/>
      </rPr>
      <t>DtW</t>
    </r>
  </si>
  <si>
    <r>
      <t xml:space="preserve">Prevalence/ intensity adjustment - </t>
    </r>
    <r>
      <rPr>
        <b/>
        <i/>
        <sz val="8"/>
        <color indexed="8"/>
        <rFont val="Calibri"/>
        <family val="2"/>
      </rPr>
      <t>SCI</t>
    </r>
  </si>
  <si>
    <r>
      <t xml:space="preserve">Proportion of deworming going to children - </t>
    </r>
    <r>
      <rPr>
        <b/>
        <i/>
        <sz val="8"/>
        <color indexed="8"/>
        <rFont val="Calibri"/>
        <family val="2"/>
      </rPr>
      <t xml:space="preserve"> SCI</t>
    </r>
  </si>
  <si>
    <r>
      <t xml:space="preserve">Proportion of deworming going to children - </t>
    </r>
    <r>
      <rPr>
        <b/>
        <i/>
        <sz val="8"/>
        <color indexed="8"/>
        <rFont val="Calibri"/>
        <family val="2"/>
      </rPr>
      <t xml:space="preserve"> DtW</t>
    </r>
  </si>
  <si>
    <t>General</t>
  </si>
  <si>
    <t>Deworming - general</t>
  </si>
  <si>
    <t>Cash transfers</t>
  </si>
  <si>
    <t>Proportion of dewormed children that end up working for wages</t>
  </si>
  <si>
    <t>Years of deworming treatment in Miguel and Kremer 2004</t>
  </si>
  <si>
    <t>Size of transfer</t>
  </si>
  <si>
    <t>Size of transfer per person</t>
  </si>
  <si>
    <t>Transfers as a percentage of total cost</t>
  </si>
  <si>
    <t>Values:</t>
  </si>
  <si>
    <t>Source:</t>
  </si>
  <si>
    <t>Baird et al 2012</t>
  </si>
  <si>
    <t>http://www.givewell.org/node/2202#Grantstructure</t>
  </si>
  <si>
    <t>Treatment effect of deworming on Ln(total labor earnings)</t>
  </si>
  <si>
    <t>Cost per person-year of protection for under 14's</t>
  </si>
  <si>
    <t xml:space="preserve">Baseline annual consumption per capita </t>
  </si>
  <si>
    <t>Average family size of cash transfer recipients</t>
  </si>
  <si>
    <r>
      <t xml:space="preserve">Cost per person dewormed - </t>
    </r>
    <r>
      <rPr>
        <b/>
        <i/>
        <sz val="8"/>
        <color indexed="8"/>
        <rFont val="Calibri"/>
        <family val="2"/>
      </rPr>
      <t>DtW</t>
    </r>
  </si>
  <si>
    <t>Fixed assumptions</t>
  </si>
  <si>
    <t>Present value of the sum of the lifetime benefits per worker  (in terms of Ln(income))</t>
  </si>
  <si>
    <t>Adjusted per person total benefits (Ln(income))</t>
  </si>
  <si>
    <t>SCI</t>
  </si>
  <si>
    <t>DtW</t>
  </si>
  <si>
    <t>Proportional increase in consumption per dollar</t>
  </si>
  <si>
    <t>Increase in current consumption from spending the transfer (Ln(income))</t>
  </si>
  <si>
    <t>Present value of net increase in current and future consumption</t>
  </si>
  <si>
    <t>The cost of saving a life through bednets buys you this many person-years of increasing ln(income) by 1:</t>
  </si>
  <si>
    <t>Bednets</t>
  </si>
  <si>
    <t>Deworming (charity specific)</t>
  </si>
  <si>
    <t>times as cost effective as cash transfers</t>
  </si>
  <si>
    <t>SCI is</t>
  </si>
  <si>
    <t>Deworm the World</t>
  </si>
  <si>
    <t>Schistosomiasisis Control Initiative:</t>
  </si>
  <si>
    <t>Deworm the World:</t>
  </si>
  <si>
    <t xml:space="preserve">Input values here: </t>
  </si>
  <si>
    <t>Dollars of benefit per dollar spent, cash</t>
  </si>
  <si>
    <t>Notes</t>
  </si>
  <si>
    <t>Cash</t>
  </si>
  <si>
    <t>ROI of cash transfers</t>
  </si>
</sst>
</file>

<file path=xl/styles.xml><?xml version="1.0" encoding="utf-8"?>
<styleSheet xmlns="http://schemas.openxmlformats.org/spreadsheetml/2006/main" xmlns:mc="http://schemas.openxmlformats.org/markup-compatibility/2006" xmlns:x14ac="http://schemas.microsoft.com/office/spreadsheetml/2009/9/ac" mc:Ignorable="x14ac">
  <numFmts count="19">
    <numFmt numFmtId="43" formatCode="_(* #,##0.00_);_(* \(#,##0.00\);_(* &quot;-&quot;??_);_(@_)"/>
    <numFmt numFmtId="164" formatCode="&quot;$&quot;#,##0_);[Red]\(&quot;$&quot;#,##0\)"/>
    <numFmt numFmtId="165" formatCode="&quot;$&quot;#,##0.00_);[Red]\(&quot;$&quot;#,##0.00\)"/>
    <numFmt numFmtId="166" formatCode="_(&quot;$&quot;* #,##0.00_);_(&quot;$&quot;* \(#,##0.00\);_(&quot;$&quot;* &quot;-&quot;??_);_(@_)"/>
    <numFmt numFmtId="167" formatCode="&quot;$&quot;#,##0.00"/>
    <numFmt numFmtId="168" formatCode="0.0%"/>
    <numFmt numFmtId="169" formatCode="0.00000"/>
    <numFmt numFmtId="170" formatCode="\$#,##0.00_);[Red]&quot;($&quot;#,##0.00\)"/>
    <numFmt numFmtId="171" formatCode="&quot;$&quot;#,##0"/>
    <numFmt numFmtId="172" formatCode="0.0000000000"/>
    <numFmt numFmtId="173" formatCode="0.00000000000"/>
    <numFmt numFmtId="174" formatCode="0.000000"/>
    <numFmt numFmtId="175" formatCode="0.00000000000000%"/>
    <numFmt numFmtId="176" formatCode="0.00000000"/>
    <numFmt numFmtId="177" formatCode="#,##0.000"/>
    <numFmt numFmtId="178" formatCode="\$#,##0_);[Red]&quot;($&quot;#,##0\)"/>
    <numFmt numFmtId="179" formatCode="#,##0.0"/>
    <numFmt numFmtId="180" formatCode="0.0"/>
    <numFmt numFmtId="181" formatCode="#,##0.00000"/>
  </numFmts>
  <fonts count="54" x14ac:knownFonts="1">
    <font>
      <sz val="11"/>
      <color theme="1"/>
      <name val="Calibri"/>
      <family val="2"/>
      <scheme val="minor"/>
    </font>
    <font>
      <sz val="9"/>
      <color indexed="81"/>
      <name val="Tahoma"/>
      <family val="2"/>
    </font>
    <font>
      <b/>
      <i/>
      <sz val="8"/>
      <color indexed="8"/>
      <name val="Calibri"/>
      <family val="2"/>
    </font>
    <font>
      <sz val="11"/>
      <color theme="1"/>
      <name val="Calibri"/>
      <family val="2"/>
      <scheme val="minor"/>
    </font>
    <font>
      <u/>
      <sz val="10"/>
      <color theme="10"/>
      <name val="Arial"/>
      <family val="2"/>
    </font>
    <font>
      <b/>
      <sz val="11"/>
      <color theme="1"/>
      <name val="Calibri"/>
      <family val="2"/>
      <scheme val="minor"/>
    </font>
    <font>
      <sz val="8"/>
      <color theme="1"/>
      <name val="Calibri"/>
      <family val="2"/>
      <scheme val="minor"/>
    </font>
    <font>
      <b/>
      <sz val="8"/>
      <color theme="1"/>
      <name val="Calibri"/>
      <family val="2"/>
      <scheme val="minor"/>
    </font>
    <font>
      <sz val="8"/>
      <color rgb="FFFF0000"/>
      <name val="Calibri"/>
      <family val="2"/>
      <scheme val="minor"/>
    </font>
    <font>
      <sz val="8"/>
      <name val="Calibri"/>
      <family val="2"/>
      <scheme val="minor"/>
    </font>
    <font>
      <b/>
      <sz val="22"/>
      <color theme="1"/>
      <name val="Calibri"/>
      <family val="2"/>
      <scheme val="minor"/>
    </font>
    <font>
      <u/>
      <sz val="8"/>
      <color theme="10"/>
      <name val="Arial"/>
      <family val="2"/>
    </font>
    <font>
      <i/>
      <sz val="9"/>
      <color theme="1"/>
      <name val="Calibri"/>
      <family val="2"/>
      <scheme val="minor"/>
    </font>
    <font>
      <b/>
      <sz val="9"/>
      <color theme="1"/>
      <name val="Calibri"/>
      <family val="2"/>
      <scheme val="minor"/>
    </font>
    <font>
      <sz val="18"/>
      <color theme="1"/>
      <name val="Calibri"/>
      <family val="2"/>
      <scheme val="minor"/>
    </font>
    <font>
      <b/>
      <sz val="12"/>
      <color theme="1"/>
      <name val="Calibri"/>
      <family val="2"/>
      <scheme val="minor"/>
    </font>
    <font>
      <b/>
      <sz val="14"/>
      <color theme="1"/>
      <name val="Calibri"/>
      <family val="2"/>
      <scheme val="minor"/>
    </font>
    <font>
      <b/>
      <sz val="15"/>
      <color theme="1"/>
      <name val="Calibri"/>
      <family val="2"/>
      <scheme val="minor"/>
    </font>
    <font>
      <sz val="9"/>
      <color theme="1"/>
      <name val="Calibri"/>
      <family val="2"/>
      <scheme val="minor"/>
    </font>
    <font>
      <i/>
      <sz val="8"/>
      <color theme="1"/>
      <name val="Calibri"/>
      <family val="2"/>
      <scheme val="minor"/>
    </font>
    <font>
      <b/>
      <sz val="18"/>
      <color theme="1"/>
      <name val="Calibri"/>
      <family val="2"/>
      <scheme val="minor"/>
    </font>
    <font>
      <b/>
      <i/>
      <sz val="8"/>
      <color theme="1"/>
      <name val="Calibri"/>
      <family val="2"/>
      <scheme val="minor"/>
    </font>
    <font>
      <sz val="12"/>
      <color indexed="8"/>
      <name val="Calibri"/>
      <family val="2"/>
    </font>
    <font>
      <b/>
      <u/>
      <sz val="11"/>
      <color theme="1"/>
      <name val="Calibri"/>
      <family val="2"/>
      <scheme val="minor"/>
    </font>
    <font>
      <b/>
      <sz val="11"/>
      <color indexed="8"/>
      <name val="Calibri"/>
      <family val="2"/>
      <scheme val="minor"/>
    </font>
    <font>
      <i/>
      <sz val="11"/>
      <name val="Calibri"/>
      <family val="2"/>
      <scheme val="minor"/>
    </font>
    <font>
      <sz val="11"/>
      <color indexed="8"/>
      <name val="Calibri"/>
      <family val="2"/>
      <scheme val="minor"/>
    </font>
    <font>
      <sz val="11"/>
      <color rgb="FF000000"/>
      <name val="Calibri"/>
      <family val="2"/>
      <scheme val="minor"/>
    </font>
    <font>
      <u/>
      <sz val="11"/>
      <color theme="10"/>
      <name val="Calibri"/>
      <family val="2"/>
      <scheme val="minor"/>
    </font>
    <font>
      <sz val="11"/>
      <name val="Calibri"/>
      <family val="2"/>
      <scheme val="minor"/>
    </font>
    <font>
      <sz val="11"/>
      <color indexed="12"/>
      <name val="Calibri"/>
      <family val="2"/>
      <scheme val="minor"/>
    </font>
    <font>
      <i/>
      <sz val="11"/>
      <color indexed="12"/>
      <name val="Calibri"/>
      <family val="2"/>
      <scheme val="minor"/>
    </font>
    <font>
      <sz val="9"/>
      <color indexed="81"/>
      <name val="Calibri"/>
      <family val="2"/>
    </font>
    <font>
      <u/>
      <sz val="11"/>
      <color theme="11"/>
      <name val="Calibri"/>
      <family val="2"/>
      <scheme val="minor"/>
    </font>
    <font>
      <sz val="10"/>
      <name val="Arial"/>
      <family val="2"/>
    </font>
    <font>
      <u/>
      <sz val="12"/>
      <color indexed="12"/>
      <name val="Calibri"/>
      <family val="2"/>
    </font>
    <font>
      <i/>
      <sz val="11"/>
      <color theme="1"/>
      <name val="Calibri"/>
      <family val="2"/>
      <scheme val="minor"/>
    </font>
    <font>
      <b/>
      <sz val="9"/>
      <color indexed="81"/>
      <name val="Tahoma"/>
      <family val="2"/>
    </font>
    <font>
      <u/>
      <sz val="8"/>
      <color theme="1"/>
      <name val="Calibri"/>
      <family val="2"/>
      <scheme val="minor"/>
    </font>
    <font>
      <sz val="12"/>
      <color theme="1"/>
      <name val="Calibri"/>
      <family val="2"/>
      <scheme val="minor"/>
    </font>
    <font>
      <b/>
      <sz val="10"/>
      <color theme="1"/>
      <name val="Calibri"/>
      <family val="2"/>
      <scheme val="minor"/>
    </font>
    <font>
      <sz val="11"/>
      <color indexed="206"/>
      <name val="Calibri"/>
      <family val="2"/>
    </font>
    <font>
      <b/>
      <sz val="10"/>
      <name val="Arial"/>
      <family val="2"/>
    </font>
    <font>
      <u/>
      <sz val="10"/>
      <color indexed="12"/>
      <name val="Arial"/>
      <family val="2"/>
    </font>
    <font>
      <u/>
      <sz val="10"/>
      <name val="Arial"/>
      <family val="2"/>
    </font>
    <font>
      <sz val="10"/>
      <color theme="2" tint="-0.249977111117893"/>
      <name val="Arial"/>
      <family val="2"/>
    </font>
    <font>
      <b/>
      <sz val="9"/>
      <color indexed="81"/>
      <name val="Calibri"/>
      <family val="2"/>
    </font>
    <font>
      <b/>
      <sz val="10"/>
      <color indexed="81"/>
      <name val="Calibri"/>
      <family val="2"/>
    </font>
    <font>
      <sz val="10"/>
      <color indexed="81"/>
      <name val="Calibri"/>
      <family val="2"/>
    </font>
    <font>
      <sz val="8"/>
      <name val="Verdana"/>
    </font>
    <font>
      <sz val="14"/>
      <color theme="1"/>
      <name val="Calibri"/>
      <family val="2"/>
      <scheme val="minor"/>
    </font>
    <font>
      <i/>
      <sz val="14"/>
      <color theme="1"/>
      <name val="Calibri"/>
      <family val="2"/>
    </font>
    <font>
      <b/>
      <sz val="14"/>
      <color theme="1"/>
      <name val="Calibri"/>
      <family val="2"/>
    </font>
    <font>
      <i/>
      <sz val="12"/>
      <color theme="1"/>
      <name val="Calibri"/>
    </font>
  </fonts>
  <fills count="25">
    <fill>
      <patternFill patternType="none"/>
    </fill>
    <fill>
      <patternFill patternType="gray125"/>
    </fill>
    <fill>
      <patternFill patternType="solid">
        <fgColor theme="9" tint="0.39997558519241921"/>
        <bgColor indexed="64"/>
      </patternFill>
    </fill>
    <fill>
      <patternFill patternType="solid">
        <fgColor theme="7" tint="0.39997558519241921"/>
        <bgColor indexed="64"/>
      </patternFill>
    </fill>
    <fill>
      <patternFill patternType="solid">
        <fgColor theme="0"/>
        <bgColor indexed="64"/>
      </patternFill>
    </fill>
    <fill>
      <patternFill patternType="solid">
        <fgColor theme="7" tint="0.79998168889431442"/>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theme="6" tint="0.59999389629810485"/>
        <bgColor indexed="64"/>
      </patternFill>
    </fill>
    <fill>
      <patternFill patternType="solid">
        <fgColor rgb="FFF7F7F7"/>
        <bgColor indexed="64"/>
      </patternFill>
    </fill>
    <fill>
      <patternFill patternType="solid">
        <fgColor theme="0" tint="-0.14999847407452621"/>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theme="0" tint="-0.249977111117893"/>
        <bgColor indexed="64"/>
      </patternFill>
    </fill>
    <fill>
      <patternFill patternType="solid">
        <fgColor theme="4" tint="0.39997558519241921"/>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2"/>
        <bgColor indexed="64"/>
      </patternFill>
    </fill>
    <fill>
      <patternFill patternType="solid">
        <fgColor theme="0" tint="-4.9989318521683403E-2"/>
        <bgColor indexed="64"/>
      </patternFill>
    </fill>
    <fill>
      <patternFill patternType="solid">
        <fgColor indexed="13"/>
        <bgColor indexed="64"/>
      </patternFill>
    </fill>
    <fill>
      <patternFill patternType="solid">
        <fgColor theme="9"/>
        <bgColor indexed="64"/>
      </patternFill>
    </fill>
    <fill>
      <patternFill patternType="solid">
        <fgColor theme="9" tint="0.59999389629810485"/>
        <bgColor indexed="64"/>
      </patternFill>
    </fill>
    <fill>
      <patternFill patternType="solid">
        <fgColor rgb="FFFF0000"/>
        <bgColor indexed="64"/>
      </patternFill>
    </fill>
    <fill>
      <patternFill patternType="solid">
        <fgColor indexed="15"/>
        <bgColor indexed="64"/>
      </patternFill>
    </fill>
    <fill>
      <patternFill patternType="solid">
        <fgColor rgb="FFFDF0C1"/>
        <bgColor indexed="64"/>
      </patternFill>
    </fill>
  </fills>
  <borders count="113">
    <border>
      <left/>
      <right/>
      <top/>
      <bottom/>
      <diagonal/>
    </border>
    <border>
      <left/>
      <right/>
      <top/>
      <bottom style="medium">
        <color auto="1"/>
      </bottom>
      <diagonal/>
    </border>
    <border>
      <left/>
      <right/>
      <top style="medium">
        <color auto="1"/>
      </top>
      <bottom/>
      <diagonal/>
    </border>
    <border>
      <left style="medium">
        <color auto="1"/>
      </left>
      <right/>
      <top/>
      <bottom style="medium">
        <color auto="1"/>
      </bottom>
      <diagonal/>
    </border>
    <border>
      <left/>
      <right style="dotted">
        <color auto="1"/>
      </right>
      <top/>
      <bottom/>
      <diagonal/>
    </border>
    <border>
      <left style="dotted">
        <color auto="1"/>
      </left>
      <right/>
      <top/>
      <bottom/>
      <diagonal/>
    </border>
    <border>
      <left style="medium">
        <color auto="1"/>
      </left>
      <right/>
      <top style="medium">
        <color auto="1"/>
      </top>
      <bottom/>
      <diagonal/>
    </border>
    <border>
      <left/>
      <right style="medium">
        <color auto="1"/>
      </right>
      <top style="medium">
        <color auto="1"/>
      </top>
      <bottom/>
      <diagonal/>
    </border>
    <border>
      <left/>
      <right style="medium">
        <color auto="1"/>
      </right>
      <top/>
      <bottom/>
      <diagonal/>
    </border>
    <border>
      <left/>
      <right style="medium">
        <color auto="1"/>
      </right>
      <top/>
      <bottom style="medium">
        <color auto="1"/>
      </bottom>
      <diagonal/>
    </border>
    <border>
      <left style="medium">
        <color auto="1"/>
      </left>
      <right/>
      <top/>
      <bottom/>
      <diagonal/>
    </border>
    <border>
      <left/>
      <right/>
      <top style="medium">
        <color auto="1"/>
      </top>
      <bottom style="dotted">
        <color auto="1"/>
      </bottom>
      <diagonal/>
    </border>
    <border>
      <left style="dotted">
        <color auto="1"/>
      </left>
      <right/>
      <top/>
      <bottom style="dotted">
        <color auto="1"/>
      </bottom>
      <diagonal/>
    </border>
    <border>
      <left/>
      <right style="dotted">
        <color auto="1"/>
      </right>
      <top/>
      <bottom style="dotted">
        <color auto="1"/>
      </bottom>
      <diagonal/>
    </border>
    <border>
      <left/>
      <right style="dotted">
        <color auto="1"/>
      </right>
      <top style="thin">
        <color theme="2" tint="-0.249977111117893"/>
      </top>
      <bottom style="thin">
        <color theme="2" tint="-0.249977111117893"/>
      </bottom>
      <diagonal/>
    </border>
    <border>
      <left style="thin">
        <color theme="2" tint="-9.9948118533890809E-2"/>
      </left>
      <right/>
      <top style="medium">
        <color auto="1"/>
      </top>
      <bottom/>
      <diagonal/>
    </border>
    <border>
      <left style="thin">
        <color theme="2" tint="-9.9948118533890809E-2"/>
      </left>
      <right style="thin">
        <color theme="2" tint="-9.9948118533890809E-2"/>
      </right>
      <top style="medium">
        <color auto="1"/>
      </top>
      <bottom style="thin">
        <color theme="2" tint="-9.9948118533890809E-2"/>
      </bottom>
      <diagonal/>
    </border>
    <border>
      <left style="thin">
        <color theme="2" tint="-9.9948118533890809E-2"/>
      </left>
      <right/>
      <top style="thin">
        <color theme="2" tint="-9.9948118533890809E-2"/>
      </top>
      <bottom style="thin">
        <color theme="2" tint="-9.9948118533890809E-2"/>
      </bottom>
      <diagonal/>
    </border>
    <border>
      <left style="thin">
        <color theme="2" tint="-9.9948118533890809E-2"/>
      </left>
      <right/>
      <top style="thin">
        <color theme="2" tint="-9.9948118533890809E-2"/>
      </top>
      <bottom style="medium">
        <color auto="1"/>
      </bottom>
      <diagonal/>
    </border>
    <border>
      <left style="thin">
        <color theme="2" tint="-9.9948118533890809E-2"/>
      </left>
      <right style="thin">
        <color theme="2" tint="-9.9948118533890809E-2"/>
      </right>
      <top style="thin">
        <color theme="2" tint="-9.9948118533890809E-2"/>
      </top>
      <bottom style="thin">
        <color theme="2" tint="-9.9948118533890809E-2"/>
      </bottom>
      <diagonal/>
    </border>
    <border>
      <left style="dotted">
        <color auto="1"/>
      </left>
      <right/>
      <top style="thin">
        <color theme="2" tint="-0.249977111117893"/>
      </top>
      <bottom/>
      <diagonal/>
    </border>
    <border>
      <left/>
      <right style="dotted">
        <color auto="1"/>
      </right>
      <top style="thin">
        <color theme="2" tint="-0.249977111117893"/>
      </top>
      <bottom/>
      <diagonal/>
    </border>
    <border>
      <left/>
      <right style="thin">
        <color theme="2" tint="-9.9948118533890809E-2"/>
      </right>
      <top style="thin">
        <color theme="2" tint="-9.9948118533890809E-2"/>
      </top>
      <bottom style="thin">
        <color theme="2" tint="-9.9948118533890809E-2"/>
      </bottom>
      <diagonal/>
    </border>
    <border>
      <left style="medium">
        <color auto="1"/>
      </left>
      <right style="thin">
        <color theme="2" tint="-9.9948118533890809E-2"/>
      </right>
      <top/>
      <bottom/>
      <diagonal/>
    </border>
    <border>
      <left style="medium">
        <color auto="1"/>
      </left>
      <right style="thin">
        <color theme="2" tint="-9.9948118533890809E-2"/>
      </right>
      <top/>
      <bottom style="medium">
        <color auto="1"/>
      </bottom>
      <diagonal/>
    </border>
    <border>
      <left style="medium">
        <color auto="1"/>
      </left>
      <right style="thin">
        <color theme="2" tint="-9.9948118533890809E-2"/>
      </right>
      <top style="medium">
        <color auto="1"/>
      </top>
      <bottom/>
      <diagonal/>
    </border>
    <border>
      <left/>
      <right style="dotted">
        <color auto="1"/>
      </right>
      <top/>
      <bottom style="thin">
        <color theme="2" tint="-0.249977111117893"/>
      </bottom>
      <diagonal/>
    </border>
    <border>
      <left style="dotted">
        <color auto="1"/>
      </left>
      <right/>
      <top/>
      <bottom style="thin">
        <color theme="2" tint="-0.249977111117893"/>
      </bottom>
      <diagonal/>
    </border>
    <border>
      <left style="thin">
        <color theme="2" tint="-9.9948118533890809E-2"/>
      </left>
      <right style="thin">
        <color theme="2" tint="-9.9948118533890809E-2"/>
      </right>
      <top style="thin">
        <color theme="2" tint="-9.9917600024414813E-2"/>
      </top>
      <bottom style="thin">
        <color theme="2" tint="-9.9917600024414813E-2"/>
      </bottom>
      <diagonal/>
    </border>
    <border>
      <left style="thin">
        <color theme="2" tint="-9.9948118533890809E-2"/>
      </left>
      <right/>
      <top style="thin">
        <color theme="2" tint="-9.9917600024414813E-2"/>
      </top>
      <bottom style="thin">
        <color theme="2" tint="-9.9917600024414813E-2"/>
      </bottom>
      <diagonal/>
    </border>
    <border>
      <left/>
      <right style="thin">
        <color theme="2" tint="-9.9948118533890809E-2"/>
      </right>
      <top style="thin">
        <color theme="2" tint="-9.9917600024414813E-2"/>
      </top>
      <bottom style="thin">
        <color theme="2" tint="-9.9917600024414813E-2"/>
      </bottom>
      <diagonal/>
    </border>
    <border>
      <left style="thin">
        <color theme="2" tint="-9.9948118533890809E-2"/>
      </left>
      <right style="thin">
        <color theme="2" tint="-9.9948118533890809E-2"/>
      </right>
      <top style="medium">
        <color auto="1"/>
      </top>
      <bottom/>
      <diagonal/>
    </border>
    <border>
      <left/>
      <right/>
      <top style="thin">
        <color theme="2" tint="-9.9917600024414813E-2"/>
      </top>
      <bottom style="thin">
        <color theme="2" tint="-9.9917600024414813E-2"/>
      </bottom>
      <diagonal/>
    </border>
    <border>
      <left style="thin">
        <color theme="2" tint="-9.9948118533890809E-2"/>
      </left>
      <right style="thin">
        <color theme="2" tint="-9.9917600024414813E-2"/>
      </right>
      <top style="thin">
        <color theme="2" tint="-9.9917600024414813E-2"/>
      </top>
      <bottom style="thin">
        <color theme="2" tint="-9.9917600024414813E-2"/>
      </bottom>
      <diagonal/>
    </border>
    <border>
      <left style="thin">
        <color theme="2" tint="-9.9948118533890809E-2"/>
      </left>
      <right style="medium">
        <color auto="1"/>
      </right>
      <top style="medium">
        <color auto="1"/>
      </top>
      <bottom/>
      <diagonal/>
    </border>
    <border>
      <left style="thin">
        <color theme="2" tint="-9.9948118533890809E-2"/>
      </left>
      <right style="medium">
        <color auto="1"/>
      </right>
      <top style="thin">
        <color theme="2" tint="-9.9917600024414813E-2"/>
      </top>
      <bottom style="thin">
        <color theme="2" tint="-9.9917600024414813E-2"/>
      </bottom>
      <diagonal/>
    </border>
    <border>
      <left style="dotted">
        <color auto="1"/>
      </left>
      <right/>
      <top/>
      <bottom style="thin">
        <color theme="0" tint="-0.34998626667073579"/>
      </bottom>
      <diagonal/>
    </border>
    <border>
      <left/>
      <right style="dotted">
        <color auto="1"/>
      </right>
      <top/>
      <bottom style="thin">
        <color theme="0" tint="-0.34998626667073579"/>
      </bottom>
      <diagonal/>
    </border>
    <border>
      <left style="dotted">
        <color auto="1"/>
      </left>
      <right/>
      <top style="dotted">
        <color auto="1"/>
      </top>
      <bottom style="thin">
        <color theme="0" tint="-0.24994659260841701"/>
      </bottom>
      <diagonal/>
    </border>
    <border>
      <left/>
      <right style="dotted">
        <color auto="1"/>
      </right>
      <top style="dotted">
        <color auto="1"/>
      </top>
      <bottom style="thin">
        <color theme="0" tint="-0.24994659260841701"/>
      </bottom>
      <diagonal/>
    </border>
    <border>
      <left style="dotted">
        <color auto="1"/>
      </left>
      <right/>
      <top style="thin">
        <color theme="0" tint="-0.34998626667073579"/>
      </top>
      <bottom/>
      <diagonal/>
    </border>
    <border>
      <left/>
      <right style="dotted">
        <color auto="1"/>
      </right>
      <top style="thin">
        <color theme="0" tint="-0.34998626667073579"/>
      </top>
      <bottom/>
      <diagonal/>
    </border>
    <border>
      <left style="dotted">
        <color auto="1"/>
      </left>
      <right/>
      <top style="thin">
        <color theme="0" tint="-0.24994659260841701"/>
      </top>
      <bottom style="thin">
        <color theme="2" tint="-0.249977111117893"/>
      </bottom>
      <diagonal/>
    </border>
    <border>
      <left/>
      <right/>
      <top style="dotted">
        <color auto="1"/>
      </top>
      <bottom/>
      <diagonal/>
    </border>
    <border>
      <left/>
      <right/>
      <top/>
      <bottom style="dotted">
        <color auto="1"/>
      </bottom>
      <diagonal/>
    </border>
    <border>
      <left style="dotted">
        <color auto="1"/>
      </left>
      <right/>
      <top style="thin">
        <color theme="2" tint="-0.249977111117893"/>
      </top>
      <bottom style="thin">
        <color theme="0" tint="-0.24994659260841701"/>
      </bottom>
      <diagonal/>
    </border>
    <border>
      <left/>
      <right style="dotted">
        <color auto="1"/>
      </right>
      <top style="thin">
        <color theme="2" tint="-0.249977111117893"/>
      </top>
      <bottom style="thin">
        <color theme="0" tint="-0.24994659260841701"/>
      </bottom>
      <diagonal/>
    </border>
    <border>
      <left/>
      <right style="dotted">
        <color auto="1"/>
      </right>
      <top style="thin">
        <color theme="0" tint="-0.24994659260841701"/>
      </top>
      <bottom style="thin">
        <color theme="0" tint="-0.24994659260841701"/>
      </bottom>
      <diagonal/>
    </border>
    <border>
      <left/>
      <right style="dotted">
        <color auto="1"/>
      </right>
      <top style="thin">
        <color theme="0" tint="-0.24994659260841701"/>
      </top>
      <bottom style="thin">
        <color theme="2" tint="-0.249977111117893"/>
      </bottom>
      <diagonal/>
    </border>
    <border>
      <left style="dotted">
        <color auto="1"/>
      </left>
      <right/>
      <top style="thin">
        <color theme="0" tint="-0.24994659260841701"/>
      </top>
      <bottom style="thin">
        <color theme="0" tint="-0.24994659260841701"/>
      </bottom>
      <diagonal/>
    </border>
    <border>
      <left style="dotted">
        <color auto="1"/>
      </left>
      <right/>
      <top style="thin">
        <color theme="0" tint="-0.24994659260841701"/>
      </top>
      <bottom/>
      <diagonal/>
    </border>
    <border>
      <left/>
      <right style="dotted">
        <color auto="1"/>
      </right>
      <top style="thin">
        <color theme="0" tint="-0.24994659260841701"/>
      </top>
      <bottom/>
      <diagonal/>
    </border>
    <border>
      <left style="dotted">
        <color auto="1"/>
      </left>
      <right/>
      <top style="dotted">
        <color auto="1"/>
      </top>
      <bottom style="dotted">
        <color auto="1"/>
      </bottom>
      <diagonal/>
    </border>
    <border>
      <left/>
      <right style="dotted">
        <color auto="1"/>
      </right>
      <top style="thin">
        <color theme="2" tint="-0.249977111117893"/>
      </top>
      <bottom style="dotted">
        <color auto="1"/>
      </bottom>
      <diagonal/>
    </border>
    <border>
      <left style="dotted">
        <color auto="1"/>
      </left>
      <right/>
      <top style="thin">
        <color theme="2" tint="-0.249977111117893"/>
      </top>
      <bottom style="dotted">
        <color auto="1"/>
      </bottom>
      <diagonal/>
    </border>
    <border>
      <left/>
      <right style="dotted">
        <color auto="1"/>
      </right>
      <top style="thin">
        <color theme="0" tint="-0.34998626667073579"/>
      </top>
      <bottom style="dotted">
        <color auto="1"/>
      </bottom>
      <diagonal/>
    </border>
    <border>
      <left style="dotted">
        <color auto="1"/>
      </left>
      <right/>
      <top style="thin">
        <color theme="0" tint="-0.34998626667073579"/>
      </top>
      <bottom style="dotted">
        <color auto="1"/>
      </bottom>
      <diagonal/>
    </border>
    <border>
      <left style="thin">
        <color theme="2" tint="-9.9917600024414813E-2"/>
      </left>
      <right/>
      <top style="thin">
        <color theme="2" tint="-9.9917600024414813E-2"/>
      </top>
      <bottom style="thin">
        <color theme="2" tint="-9.9917600024414813E-2"/>
      </bottom>
      <diagonal/>
    </border>
    <border>
      <left style="thin">
        <color theme="2" tint="-9.9948118533890809E-2"/>
      </left>
      <right/>
      <top style="medium">
        <color auto="1"/>
      </top>
      <bottom style="thin">
        <color theme="2" tint="-9.9917600024414813E-2"/>
      </bottom>
      <diagonal/>
    </border>
    <border>
      <left/>
      <right style="thin">
        <color theme="2" tint="-9.9948118533890809E-2"/>
      </right>
      <top style="medium">
        <color auto="1"/>
      </top>
      <bottom style="thin">
        <color theme="2" tint="-9.9917600024414813E-2"/>
      </bottom>
      <diagonal/>
    </border>
    <border>
      <left style="dotted">
        <color auto="1"/>
      </left>
      <right/>
      <top style="dotted">
        <color auto="1"/>
      </top>
      <bottom style="thin">
        <color theme="2" tint="-0.249977111117893"/>
      </bottom>
      <diagonal/>
    </border>
    <border>
      <left/>
      <right style="dotted">
        <color auto="1"/>
      </right>
      <top style="dotted">
        <color auto="1"/>
      </top>
      <bottom/>
      <diagonal/>
    </border>
    <border>
      <left style="dotted">
        <color auto="1"/>
      </left>
      <right/>
      <top style="thin">
        <color theme="2" tint="-0.249977111117893"/>
      </top>
      <bottom style="thin">
        <color theme="2" tint="-0.249977111117893"/>
      </bottom>
      <diagonal/>
    </border>
    <border>
      <left/>
      <right style="dotted">
        <color auto="1"/>
      </right>
      <top style="dotted">
        <color auto="1"/>
      </top>
      <bottom style="dotted">
        <color auto="1"/>
      </bottom>
      <diagonal/>
    </border>
    <border>
      <left style="thin">
        <color theme="2" tint="-9.9948118533890809E-2"/>
      </left>
      <right/>
      <top style="thin">
        <color theme="2" tint="-9.9917600024414813E-2"/>
      </top>
      <bottom style="thin">
        <color theme="2" tint="-9.9948118533890809E-2"/>
      </bottom>
      <diagonal/>
    </border>
    <border>
      <left/>
      <right/>
      <top style="thin">
        <color theme="2" tint="-9.9917600024414813E-2"/>
      </top>
      <bottom style="thin">
        <color theme="2" tint="-9.9948118533890809E-2"/>
      </bottom>
      <diagonal/>
    </border>
    <border>
      <left/>
      <right style="thin">
        <color theme="2" tint="-9.9948118533890809E-2"/>
      </right>
      <top style="thin">
        <color theme="2" tint="-9.9917600024414813E-2"/>
      </top>
      <bottom style="thin">
        <color theme="2" tint="-9.9948118533890809E-2"/>
      </bottom>
      <diagonal/>
    </border>
    <border>
      <left style="thin">
        <color theme="0" tint="-0.24994659260841701"/>
      </left>
      <right style="thin">
        <color theme="2" tint="-9.9948118533890809E-2"/>
      </right>
      <top style="thin">
        <color theme="2" tint="-9.9917600024414813E-2"/>
      </top>
      <bottom style="medium">
        <color auto="1"/>
      </bottom>
      <diagonal/>
    </border>
    <border>
      <left style="thin">
        <color theme="2" tint="-9.9948118533890809E-2"/>
      </left>
      <right style="thin">
        <color theme="2" tint="-9.9948118533890809E-2"/>
      </right>
      <top style="thin">
        <color theme="2" tint="-9.9948118533890809E-2"/>
      </top>
      <bottom style="medium">
        <color auto="1"/>
      </bottom>
      <diagonal/>
    </border>
    <border>
      <left style="thin">
        <color theme="2" tint="-9.9948118533890809E-2"/>
      </left>
      <right style="medium">
        <color auto="1"/>
      </right>
      <top style="thin">
        <color theme="2" tint="-9.9948118533890809E-2"/>
      </top>
      <bottom style="medium">
        <color auto="1"/>
      </bottom>
      <diagonal/>
    </border>
    <border>
      <left/>
      <right style="thin">
        <color theme="2" tint="-9.9948118533890809E-2"/>
      </right>
      <top/>
      <bottom style="thin">
        <color theme="2" tint="-9.9948118533890809E-2"/>
      </bottom>
      <diagonal/>
    </border>
    <border>
      <left/>
      <right style="thin">
        <color theme="2" tint="-9.9948118533890809E-2"/>
      </right>
      <top style="thin">
        <color theme="2" tint="-9.9948118533890809E-2"/>
      </top>
      <bottom/>
      <diagonal/>
    </border>
    <border>
      <left style="thin">
        <color theme="2" tint="-9.9948118533890809E-2"/>
      </left>
      <right style="thin">
        <color theme="2" tint="-9.9948118533890809E-2"/>
      </right>
      <top style="thin">
        <color theme="2" tint="-9.9948118533890809E-2"/>
      </top>
      <bottom/>
      <diagonal/>
    </border>
    <border>
      <left style="thin">
        <color theme="2" tint="-9.9917600024414813E-2"/>
      </left>
      <right/>
      <top/>
      <bottom style="thin">
        <color theme="2" tint="-9.9917600024414813E-2"/>
      </bottom>
      <diagonal/>
    </border>
    <border>
      <left style="thin">
        <color theme="2" tint="-9.9948118533890809E-2"/>
      </left>
      <right style="thin">
        <color theme="2" tint="-9.9917600024414813E-2"/>
      </right>
      <top style="thin">
        <color theme="2" tint="-9.9917600024414813E-2"/>
      </top>
      <bottom/>
      <diagonal/>
    </border>
    <border>
      <left style="thin">
        <color theme="2" tint="-9.9917600024414813E-2"/>
      </left>
      <right style="thin">
        <color theme="2" tint="-9.9917600024414813E-2"/>
      </right>
      <top style="thin">
        <color theme="2" tint="-9.9917600024414813E-2"/>
      </top>
      <bottom/>
      <diagonal/>
    </border>
    <border>
      <left style="thin">
        <color theme="2" tint="-9.9917600024414813E-2"/>
      </left>
      <right style="thin">
        <color theme="0" tint="-0.24994659260841701"/>
      </right>
      <top style="thin">
        <color theme="2" tint="-9.9917600024414813E-2"/>
      </top>
      <bottom/>
      <diagonal/>
    </border>
    <border>
      <left style="thin">
        <color theme="0" tint="-0.24994659260841701"/>
      </left>
      <right/>
      <top/>
      <bottom style="medium">
        <color auto="1"/>
      </bottom>
      <diagonal/>
    </border>
    <border>
      <left/>
      <right style="thin">
        <color theme="0" tint="-0.24994659260841701"/>
      </right>
      <top/>
      <bottom style="medium">
        <color auto="1"/>
      </bottom>
      <diagonal/>
    </border>
    <border>
      <left style="thin">
        <color theme="0" tint="-0.24994659260841701"/>
      </left>
      <right/>
      <top style="thin">
        <color theme="2" tint="-9.9948118533890809E-2"/>
      </top>
      <bottom style="medium">
        <color auto="1"/>
      </bottom>
      <diagonal/>
    </border>
    <border>
      <left/>
      <right/>
      <top style="thin">
        <color theme="2" tint="-9.9948118533890809E-2"/>
      </top>
      <bottom style="medium">
        <color auto="1"/>
      </bottom>
      <diagonal/>
    </border>
    <border>
      <left/>
      <right style="thin">
        <color theme="0" tint="-0.24994659260841701"/>
      </right>
      <top style="thin">
        <color theme="2" tint="-9.9948118533890809E-2"/>
      </top>
      <bottom style="medium">
        <color auto="1"/>
      </bottom>
      <diagonal/>
    </border>
    <border>
      <left style="thin">
        <color theme="2" tint="-9.9948118533890809E-2"/>
      </left>
      <right style="thin">
        <color theme="2" tint="-9.9948118533890809E-2"/>
      </right>
      <top/>
      <bottom/>
      <diagonal/>
    </border>
    <border>
      <left/>
      <right/>
      <top/>
      <bottom style="thin">
        <color theme="2" tint="-9.9948118533890809E-2"/>
      </bottom>
      <diagonal/>
    </border>
    <border>
      <left/>
      <right/>
      <top/>
      <bottom style="thin">
        <color theme="2" tint="-9.9917600024414813E-2"/>
      </bottom>
      <diagonal/>
    </border>
    <border>
      <left/>
      <right/>
      <top style="medium">
        <color auto="1"/>
      </top>
      <bottom style="thin">
        <color theme="2" tint="-9.9917600024414813E-2"/>
      </bottom>
      <diagonal/>
    </border>
    <border>
      <left/>
      <right/>
      <top style="medium">
        <color auto="1"/>
      </top>
      <bottom style="thin">
        <color theme="2" tint="-0.249977111117893"/>
      </bottom>
      <diagonal/>
    </border>
    <border>
      <left/>
      <right/>
      <top style="thin">
        <color theme="2" tint="-0.249977111117893"/>
      </top>
      <bottom/>
      <diagonal/>
    </border>
    <border>
      <left style="medium">
        <color auto="1"/>
      </left>
      <right/>
      <top style="medium">
        <color auto="1"/>
      </top>
      <bottom style="thin">
        <color theme="2" tint="-0.249977111117893"/>
      </bottom>
      <diagonal/>
    </border>
    <border>
      <left/>
      <right style="medium">
        <color auto="1"/>
      </right>
      <top style="thin">
        <color theme="2" tint="-0.249977111117893"/>
      </top>
      <bottom/>
      <diagonal/>
    </border>
    <border>
      <left style="medium">
        <color auto="1"/>
      </left>
      <right/>
      <top style="thin">
        <color theme="2" tint="-0.249977111117893"/>
      </top>
      <bottom/>
      <diagonal/>
    </border>
    <border>
      <left style="thin">
        <color theme="2" tint="-9.9917600024414813E-2"/>
      </left>
      <right/>
      <top/>
      <bottom/>
      <diagonal/>
    </border>
    <border>
      <left/>
      <right style="thin">
        <color theme="2" tint="-9.9917600024414813E-2"/>
      </right>
      <top/>
      <bottom/>
      <diagonal/>
    </border>
    <border>
      <left style="dotted">
        <color auto="1"/>
      </left>
      <right/>
      <top style="dotted">
        <color auto="1"/>
      </top>
      <bottom/>
      <diagonal/>
    </border>
    <border>
      <left style="dotted">
        <color auto="1"/>
      </left>
      <right style="dotted">
        <color auto="1"/>
      </right>
      <top style="dotted">
        <color auto="1"/>
      </top>
      <bottom/>
      <diagonal/>
    </border>
    <border>
      <left style="dotted">
        <color auto="1"/>
      </left>
      <right style="dotted">
        <color auto="1"/>
      </right>
      <top/>
      <bottom style="dotted">
        <color auto="1"/>
      </bottom>
      <diagonal/>
    </border>
    <border>
      <left style="dotted">
        <color auto="1"/>
      </left>
      <right/>
      <top style="dotted">
        <color auto="1"/>
      </top>
      <bottom style="thin">
        <color theme="2" tint="-9.9948118533890809E-2"/>
      </bottom>
      <diagonal/>
    </border>
    <border>
      <left/>
      <right style="thin">
        <color theme="2" tint="-9.9917600024414813E-2"/>
      </right>
      <top style="dotted">
        <color auto="1"/>
      </top>
      <bottom style="thin">
        <color theme="2" tint="-9.9948118533890809E-2"/>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right style="thin">
        <color theme="2" tint="-9.9948118533890809E-2"/>
      </right>
      <top style="medium">
        <color auto="1"/>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medium">
        <color auto="1"/>
      </bottom>
      <diagonal/>
    </border>
    <border>
      <left/>
      <right style="thin">
        <color auto="1"/>
      </right>
      <top style="thin">
        <color auto="1"/>
      </top>
      <bottom style="medium">
        <color auto="1"/>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style="medium">
        <color auto="1"/>
      </bottom>
      <diagonal/>
    </border>
    <border>
      <left/>
      <right/>
      <top/>
      <bottom style="thin">
        <color theme="2" tint="-0.249977111117893"/>
      </bottom>
      <diagonal/>
    </border>
    <border>
      <left style="thin">
        <color theme="2" tint="-9.9917600024414813E-2"/>
      </left>
      <right/>
      <top/>
      <bottom style="thin">
        <color theme="2" tint="-9.9948118533890809E-2"/>
      </bottom>
      <diagonal/>
    </border>
    <border>
      <left/>
      <right/>
      <top style="medium">
        <color auto="1"/>
      </top>
      <bottom style="thin">
        <color auto="1"/>
      </bottom>
      <diagonal/>
    </border>
  </borders>
  <cellStyleXfs count="13">
    <xf numFmtId="0" fontId="0" fillId="0" borderId="0"/>
    <xf numFmtId="166" fontId="3" fillId="0" borderId="0" applyFont="0" applyFill="0" applyBorder="0" applyAlignment="0" applyProtection="0"/>
    <xf numFmtId="0" fontId="4" fillId="0" borderId="0" applyNumberFormat="0" applyFill="0" applyBorder="0" applyAlignment="0" applyProtection="0"/>
    <xf numFmtId="9" fontId="3" fillId="0" borderId="0" applyFont="0" applyFill="0" applyBorder="0" applyAlignment="0" applyProtection="0"/>
    <xf numFmtId="0" fontId="22" fillId="0" borderId="0"/>
    <xf numFmtId="0" fontId="33" fillId="0" borderId="0" applyNumberFormat="0" applyFill="0" applyBorder="0" applyAlignment="0" applyProtection="0"/>
    <xf numFmtId="0" fontId="34" fillId="0" borderId="0"/>
    <xf numFmtId="0" fontId="35" fillId="0" borderId="0"/>
    <xf numFmtId="0" fontId="3" fillId="0" borderId="0"/>
    <xf numFmtId="9" fontId="3" fillId="0" borderId="0" applyFont="0" applyFill="0" applyBorder="0" applyAlignment="0" applyProtection="0"/>
    <xf numFmtId="0" fontId="43" fillId="0" borderId="0" applyNumberFormat="0" applyFill="0" applyBorder="0" applyAlignment="0" applyProtection="0"/>
    <xf numFmtId="9" fontId="34" fillId="0" borderId="0" applyFill="0" applyBorder="0" applyAlignment="0" applyProtection="0"/>
    <xf numFmtId="43" fontId="34" fillId="0" borderId="0" applyFill="0" applyBorder="0" applyAlignment="0" applyProtection="0"/>
  </cellStyleXfs>
  <cellXfs count="709">
    <xf numFmtId="0" fontId="0" fillId="0" borderId="0" xfId="0"/>
    <xf numFmtId="0" fontId="6" fillId="0" borderId="0" xfId="0" applyFont="1"/>
    <xf numFmtId="9" fontId="8" fillId="4" borderId="0" xfId="0" applyNumberFormat="1" applyFont="1" applyFill="1" applyBorder="1"/>
    <xf numFmtId="0" fontId="8" fillId="4" borderId="0" xfId="0" applyFont="1" applyFill="1" applyBorder="1"/>
    <xf numFmtId="10" fontId="6" fillId="4" borderId="0" xfId="0" applyNumberFormat="1" applyFont="1" applyFill="1" applyBorder="1"/>
    <xf numFmtId="9" fontId="6" fillId="4" borderId="0" xfId="0" applyNumberFormat="1" applyFont="1" applyFill="1" applyBorder="1"/>
    <xf numFmtId="0" fontId="6" fillId="4" borderId="0" xfId="0" applyFont="1" applyFill="1" applyBorder="1"/>
    <xf numFmtId="0" fontId="6" fillId="4" borderId="1" xfId="0" applyFont="1" applyFill="1" applyBorder="1"/>
    <xf numFmtId="0" fontId="6" fillId="4" borderId="4" xfId="0" applyFont="1" applyFill="1" applyBorder="1"/>
    <xf numFmtId="0" fontId="6" fillId="4" borderId="5" xfId="0" applyFont="1" applyFill="1" applyBorder="1"/>
    <xf numFmtId="0" fontId="6" fillId="4" borderId="6" xfId="0" applyFont="1" applyFill="1" applyBorder="1"/>
    <xf numFmtId="0" fontId="6" fillId="4" borderId="7" xfId="0" applyFont="1" applyFill="1" applyBorder="1"/>
    <xf numFmtId="0" fontId="6" fillId="4" borderId="8" xfId="0" applyFont="1" applyFill="1" applyBorder="1"/>
    <xf numFmtId="9" fontId="6" fillId="5" borderId="14" xfId="0" applyNumberFormat="1" applyFont="1" applyFill="1" applyBorder="1" applyAlignment="1">
      <alignment horizontal="center" vertical="center"/>
    </xf>
    <xf numFmtId="0" fontId="6" fillId="4" borderId="0" xfId="0" applyFont="1" applyFill="1"/>
    <xf numFmtId="0" fontId="6" fillId="4" borderId="10" xfId="0" applyFont="1" applyFill="1" applyBorder="1"/>
    <xf numFmtId="0" fontId="9" fillId="0" borderId="15" xfId="0" applyFont="1" applyFill="1" applyBorder="1" applyAlignment="1">
      <alignment vertical="center"/>
    </xf>
    <xf numFmtId="0" fontId="10" fillId="4" borderId="0" xfId="0" applyFont="1" applyFill="1" applyAlignment="1">
      <alignment vertical="center"/>
    </xf>
    <xf numFmtId="0" fontId="7" fillId="8" borderId="16" xfId="0" applyFont="1" applyFill="1" applyBorder="1" applyAlignment="1">
      <alignment horizontal="center" vertical="center" wrapText="1"/>
    </xf>
    <xf numFmtId="0" fontId="6" fillId="8" borderId="17" xfId="0" applyFont="1" applyFill="1" applyBorder="1" applyAlignment="1">
      <alignment wrapText="1"/>
    </xf>
    <xf numFmtId="0" fontId="6" fillId="8" borderId="18" xfId="0" applyFont="1" applyFill="1" applyBorder="1" applyAlignment="1"/>
    <xf numFmtId="0" fontId="12" fillId="4" borderId="0" xfId="0" applyFont="1" applyFill="1" applyBorder="1" applyAlignment="1">
      <alignment horizontal="right" vertical="center"/>
    </xf>
    <xf numFmtId="0" fontId="13" fillId="10" borderId="2" xfId="0" applyFont="1" applyFill="1" applyBorder="1" applyAlignment="1">
      <alignment horizontal="centerContinuous"/>
    </xf>
    <xf numFmtId="0" fontId="7" fillId="10" borderId="2" xfId="0" applyFont="1" applyFill="1" applyBorder="1" applyAlignment="1">
      <alignment horizontal="centerContinuous"/>
    </xf>
    <xf numFmtId="0" fontId="14" fillId="4" borderId="0" xfId="0" applyFont="1" applyFill="1"/>
    <xf numFmtId="0" fontId="6" fillId="12" borderId="19" xfId="0" applyFont="1" applyFill="1" applyBorder="1" applyAlignment="1">
      <alignment horizontal="center" vertical="center"/>
    </xf>
    <xf numFmtId="0" fontId="10" fillId="4" borderId="1" xfId="0" applyFont="1" applyFill="1" applyBorder="1" applyAlignment="1">
      <alignment vertical="center"/>
    </xf>
    <xf numFmtId="0" fontId="12" fillId="15" borderId="2" xfId="0" applyFont="1" applyFill="1" applyBorder="1"/>
    <xf numFmtId="0" fontId="18" fillId="15" borderId="2" xfId="0" applyFont="1" applyFill="1" applyBorder="1"/>
    <xf numFmtId="10" fontId="18" fillId="16" borderId="2" xfId="0" applyNumberFormat="1" applyFont="1" applyFill="1" applyBorder="1" applyAlignment="1">
      <alignment horizontal="right"/>
    </xf>
    <xf numFmtId="0" fontId="18" fillId="4" borderId="2" xfId="0" applyFont="1" applyFill="1" applyBorder="1"/>
    <xf numFmtId="0" fontId="18" fillId="4" borderId="7" xfId="0" applyFont="1" applyFill="1" applyBorder="1"/>
    <xf numFmtId="0" fontId="12" fillId="15" borderId="0" xfId="0" applyFont="1" applyFill="1" applyBorder="1"/>
    <xf numFmtId="0" fontId="18" fillId="15" borderId="0" xfId="0" applyFont="1" applyFill="1" applyBorder="1"/>
    <xf numFmtId="10" fontId="18" fillId="16" borderId="0" xfId="0" applyNumberFormat="1" applyFont="1" applyFill="1" applyBorder="1" applyAlignment="1">
      <alignment horizontal="right"/>
    </xf>
    <xf numFmtId="0" fontId="18" fillId="4" borderId="0" xfId="0" applyFont="1" applyFill="1" applyBorder="1"/>
    <xf numFmtId="0" fontId="18" fillId="4" borderId="8" xfId="0" applyFont="1" applyFill="1" applyBorder="1"/>
    <xf numFmtId="0" fontId="13" fillId="14" borderId="10" xfId="0" applyFont="1" applyFill="1" applyBorder="1" applyAlignment="1">
      <alignment horizontal="left" vertical="top"/>
    </xf>
    <xf numFmtId="0" fontId="18" fillId="14" borderId="0" xfId="0" applyFont="1" applyFill="1" applyBorder="1"/>
    <xf numFmtId="167" fontId="18" fillId="16" borderId="0" xfId="0" applyNumberFormat="1" applyFont="1" applyFill="1" applyBorder="1" applyAlignment="1">
      <alignment horizontal="right"/>
    </xf>
    <xf numFmtId="0" fontId="13" fillId="14" borderId="10" xfId="0" applyFont="1" applyFill="1" applyBorder="1" applyAlignment="1">
      <alignment horizontal="right"/>
    </xf>
    <xf numFmtId="2" fontId="18" fillId="16" borderId="0" xfId="0" applyNumberFormat="1" applyFont="1" applyFill="1" applyBorder="1" applyAlignment="1">
      <alignment horizontal="center"/>
    </xf>
    <xf numFmtId="0" fontId="13" fillId="14" borderId="0" xfId="0" applyFont="1" applyFill="1" applyBorder="1"/>
    <xf numFmtId="0" fontId="18" fillId="14" borderId="8" xfId="0" applyFont="1" applyFill="1" applyBorder="1"/>
    <xf numFmtId="0" fontId="6" fillId="0" borderId="0" xfId="0" applyFont="1" applyBorder="1"/>
    <xf numFmtId="0" fontId="8" fillId="4" borderId="2" xfId="0" applyFont="1" applyFill="1" applyBorder="1" applyAlignment="1">
      <alignment horizontal="center"/>
    </xf>
    <xf numFmtId="0" fontId="7" fillId="4" borderId="2" xfId="0" applyFont="1" applyFill="1" applyBorder="1" applyAlignment="1">
      <alignment horizontal="center"/>
    </xf>
    <xf numFmtId="0" fontId="8" fillId="4" borderId="0" xfId="0" applyFont="1" applyFill="1" applyBorder="1" applyAlignment="1">
      <alignment horizontal="center"/>
    </xf>
    <xf numFmtId="0" fontId="7" fillId="4" borderId="5" xfId="0" applyFont="1" applyFill="1" applyBorder="1" applyAlignment="1">
      <alignment vertical="center" wrapText="1"/>
    </xf>
    <xf numFmtId="0" fontId="6" fillId="4" borderId="4" xfId="0" applyFont="1" applyFill="1" applyBorder="1" applyAlignment="1">
      <alignment vertical="center"/>
    </xf>
    <xf numFmtId="0" fontId="19" fillId="4" borderId="0" xfId="0" applyFont="1" applyFill="1"/>
    <xf numFmtId="0" fontId="4" fillId="0" borderId="0" xfId="2"/>
    <xf numFmtId="0" fontId="23" fillId="0" borderId="0" xfId="0" applyFont="1" applyFill="1" applyAlignment="1">
      <alignment horizontal="center"/>
    </xf>
    <xf numFmtId="0" fontId="0" fillId="0" borderId="0" xfId="0" applyFont="1" applyAlignment="1">
      <alignment wrapText="1"/>
    </xf>
    <xf numFmtId="0" fontId="0" fillId="0" borderId="0" xfId="0" applyFont="1"/>
    <xf numFmtId="10" fontId="0" fillId="0" borderId="0" xfId="0" applyNumberFormat="1" applyFont="1" applyFill="1"/>
    <xf numFmtId="0" fontId="0" fillId="0" borderId="0" xfId="0" applyFont="1" applyFill="1"/>
    <xf numFmtId="0" fontId="26" fillId="0" borderId="0" xfId="4" applyFont="1" applyAlignment="1">
      <alignment wrapText="1"/>
    </xf>
    <xf numFmtId="0" fontId="0" fillId="0" borderId="0" xfId="0" applyNumberFormat="1" applyFont="1" applyFill="1"/>
    <xf numFmtId="2" fontId="0" fillId="0" borderId="0" xfId="0" applyNumberFormat="1" applyFont="1" applyFill="1"/>
    <xf numFmtId="9" fontId="0" fillId="0" borderId="0" xfId="0" applyNumberFormat="1" applyFont="1" applyFill="1"/>
    <xf numFmtId="0" fontId="0" fillId="0" borderId="0" xfId="0" applyFont="1" applyFill="1" applyBorder="1"/>
    <xf numFmtId="0" fontId="0" fillId="0" borderId="0" xfId="0" applyFont="1" applyFill="1" applyAlignment="1">
      <alignment horizontal="left" vertical="top" wrapText="1"/>
    </xf>
    <xf numFmtId="0" fontId="0" fillId="0" borderId="0" xfId="0" applyFont="1" applyFill="1" applyAlignment="1">
      <alignment vertical="top" wrapText="1"/>
    </xf>
    <xf numFmtId="0" fontId="5" fillId="0" borderId="0" xfId="0" applyFont="1" applyFill="1" applyAlignment="1">
      <alignment vertical="top" wrapText="1"/>
    </xf>
    <xf numFmtId="0" fontId="0" fillId="0" borderId="0" xfId="0" applyFont="1" applyAlignment="1">
      <alignment vertical="top" wrapText="1"/>
    </xf>
    <xf numFmtId="0" fontId="0" fillId="0" borderId="0" xfId="0" applyFont="1" applyFill="1" applyAlignment="1">
      <alignment horizontal="right"/>
    </xf>
    <xf numFmtId="0" fontId="17" fillId="4" borderId="0" xfId="0" applyFont="1" applyFill="1" applyBorder="1" applyAlignment="1">
      <alignment vertical="center"/>
    </xf>
    <xf numFmtId="0" fontId="0" fillId="0" borderId="0" xfId="0" applyFont="1" applyFill="1" applyAlignment="1">
      <alignment wrapText="1"/>
    </xf>
    <xf numFmtId="0" fontId="0" fillId="0" borderId="0" xfId="0" applyFont="1" applyFill="1" applyAlignment="1">
      <alignment horizontal="left" wrapText="1"/>
    </xf>
    <xf numFmtId="167" fontId="0" fillId="0" borderId="0" xfId="0" applyNumberFormat="1"/>
    <xf numFmtId="0" fontId="0" fillId="0" borderId="0" xfId="0" applyNumberFormat="1"/>
    <xf numFmtId="0" fontId="25" fillId="0" borderId="0" xfId="0" applyFont="1" applyFill="1" applyAlignment="1">
      <alignment vertical="top" wrapText="1"/>
    </xf>
    <xf numFmtId="0" fontId="26" fillId="0" borderId="0" xfId="4" applyFont="1" applyFill="1" applyAlignment="1">
      <alignment vertical="top" wrapText="1"/>
    </xf>
    <xf numFmtId="0" fontId="25" fillId="0" borderId="0" xfId="0" applyFont="1" applyFill="1" applyAlignment="1">
      <alignment horizontal="left" vertical="top" wrapText="1"/>
    </xf>
    <xf numFmtId="0" fontId="26" fillId="0" borderId="0" xfId="0" applyFont="1" applyFill="1"/>
    <xf numFmtId="10" fontId="6" fillId="4" borderId="0" xfId="3" applyNumberFormat="1" applyFont="1" applyFill="1" applyBorder="1" applyAlignment="1">
      <alignment horizontal="center" vertical="center"/>
    </xf>
    <xf numFmtId="167" fontId="6" fillId="12" borderId="28" xfId="1" applyNumberFormat="1" applyFont="1" applyFill="1" applyBorder="1" applyAlignment="1">
      <alignment horizontal="center" vertical="center"/>
    </xf>
    <xf numFmtId="0" fontId="7" fillId="8" borderId="31" xfId="0" applyFont="1" applyFill="1" applyBorder="1" applyAlignment="1">
      <alignment horizontal="center" vertical="center" wrapText="1"/>
    </xf>
    <xf numFmtId="167" fontId="6" fillId="12" borderId="33" xfId="1" applyNumberFormat="1" applyFont="1" applyFill="1" applyBorder="1" applyAlignment="1">
      <alignment horizontal="center" vertical="center"/>
    </xf>
    <xf numFmtId="0" fontId="0" fillId="0" borderId="0" xfId="0" applyFont="1" applyAlignment="1"/>
    <xf numFmtId="0" fontId="0" fillId="0" borderId="0" xfId="0" applyFont="1" applyAlignment="1">
      <alignment vertical="top"/>
    </xf>
    <xf numFmtId="0" fontId="0" fillId="0" borderId="0" xfId="0" applyFill="1" applyBorder="1"/>
    <xf numFmtId="0" fontId="5" fillId="0" borderId="0" xfId="0" applyFont="1"/>
    <xf numFmtId="0" fontId="7" fillId="8" borderId="34" xfId="0" applyFont="1" applyFill="1" applyBorder="1" applyAlignment="1">
      <alignment horizontal="center" vertical="center" wrapText="1"/>
    </xf>
    <xf numFmtId="9" fontId="8" fillId="0" borderId="0" xfId="0" applyNumberFormat="1" applyFont="1" applyFill="1" applyBorder="1"/>
    <xf numFmtId="9" fontId="6" fillId="0" borderId="0" xfId="0" applyNumberFormat="1" applyFont="1" applyFill="1" applyBorder="1"/>
    <xf numFmtId="0" fontId="16" fillId="4" borderId="0" xfId="0" applyFont="1" applyFill="1" applyBorder="1" applyAlignment="1">
      <alignment horizontal="center" vertical="center" wrapText="1"/>
    </xf>
    <xf numFmtId="0" fontId="7" fillId="4" borderId="0" xfId="0" applyFont="1" applyFill="1" applyBorder="1" applyAlignment="1">
      <alignment horizontal="center" vertical="center"/>
    </xf>
    <xf numFmtId="2" fontId="6" fillId="4" borderId="0" xfId="0" applyNumberFormat="1" applyFont="1" applyFill="1" applyBorder="1" applyAlignment="1">
      <alignment horizontal="center" vertical="center"/>
    </xf>
    <xf numFmtId="0" fontId="0" fillId="4" borderId="0" xfId="0" applyFill="1"/>
    <xf numFmtId="0" fontId="12" fillId="15" borderId="1" xfId="0" applyFont="1" applyFill="1" applyBorder="1"/>
    <xf numFmtId="0" fontId="18" fillId="15" borderId="1" xfId="0" applyFont="1" applyFill="1" applyBorder="1"/>
    <xf numFmtId="167" fontId="18" fillId="16" borderId="1" xfId="0" applyNumberFormat="1" applyFont="1" applyFill="1" applyBorder="1" applyAlignment="1">
      <alignment horizontal="right"/>
    </xf>
    <xf numFmtId="0" fontId="7" fillId="3" borderId="38" xfId="0" applyFont="1" applyFill="1" applyBorder="1" applyAlignment="1">
      <alignment horizontal="center" vertical="center" wrapText="1"/>
    </xf>
    <xf numFmtId="9" fontId="6" fillId="5" borderId="39" xfId="0" applyNumberFormat="1" applyFont="1" applyFill="1" applyBorder="1" applyAlignment="1">
      <alignment horizontal="center" vertical="center"/>
    </xf>
    <xf numFmtId="0" fontId="7" fillId="4" borderId="10" xfId="0" applyFont="1" applyFill="1" applyBorder="1" applyAlignment="1">
      <alignment horizontal="center" vertical="center" wrapText="1"/>
    </xf>
    <xf numFmtId="169" fontId="6" fillId="4" borderId="0" xfId="0" applyNumberFormat="1" applyFont="1" applyFill="1" applyBorder="1" applyAlignment="1">
      <alignment horizontal="center"/>
    </xf>
    <xf numFmtId="0" fontId="6" fillId="11" borderId="0" xfId="0" applyFont="1" applyFill="1" applyBorder="1" applyAlignment="1">
      <alignment horizontal="center" vertical="center"/>
    </xf>
    <xf numFmtId="0" fontId="7" fillId="3" borderId="42" xfId="0" applyFont="1" applyFill="1" applyBorder="1" applyAlignment="1">
      <alignment horizontal="center" vertical="center" wrapText="1"/>
    </xf>
    <xf numFmtId="0" fontId="6" fillId="4" borderId="43" xfId="0" applyFont="1" applyFill="1" applyBorder="1"/>
    <xf numFmtId="0" fontId="7" fillId="6" borderId="45" xfId="0" applyFont="1" applyFill="1" applyBorder="1" applyAlignment="1">
      <alignment vertical="center" wrapText="1"/>
    </xf>
    <xf numFmtId="9" fontId="6" fillId="7" borderId="46" xfId="3" applyFont="1" applyFill="1" applyBorder="1" applyAlignment="1">
      <alignment horizontal="center" vertical="center"/>
    </xf>
    <xf numFmtId="167" fontId="6" fillId="7" borderId="47" xfId="0" applyNumberFormat="1" applyFont="1" applyFill="1" applyBorder="1" applyAlignment="1">
      <alignment horizontal="center" vertical="center"/>
    </xf>
    <xf numFmtId="167" fontId="6" fillId="7" borderId="48" xfId="0" applyNumberFormat="1" applyFont="1" applyFill="1" applyBorder="1" applyAlignment="1">
      <alignment horizontal="center" vertical="center"/>
    </xf>
    <xf numFmtId="0" fontId="7" fillId="6" borderId="49" xfId="0" applyFont="1" applyFill="1" applyBorder="1" applyAlignment="1">
      <alignment horizontal="center" vertical="center" wrapText="1"/>
    </xf>
    <xf numFmtId="0" fontId="7" fillId="6" borderId="42" xfId="0" applyFont="1" applyFill="1" applyBorder="1" applyAlignment="1">
      <alignment horizontal="center" vertical="center" wrapText="1"/>
    </xf>
    <xf numFmtId="0" fontId="7" fillId="3" borderId="50" xfId="0" applyFont="1" applyFill="1" applyBorder="1" applyAlignment="1">
      <alignment horizontal="center" vertical="center" wrapText="1"/>
    </xf>
    <xf numFmtId="9" fontId="6" fillId="5" borderId="51" xfId="0" applyNumberFormat="1" applyFont="1" applyFill="1" applyBorder="1" applyAlignment="1">
      <alignment horizontal="center" vertical="center"/>
    </xf>
    <xf numFmtId="0" fontId="7" fillId="6" borderId="27" xfId="0" applyFont="1" applyFill="1" applyBorder="1" applyAlignment="1">
      <alignment horizontal="center" vertical="center" wrapText="1"/>
    </xf>
    <xf numFmtId="9" fontId="6" fillId="7" borderId="26" xfId="3" applyFont="1" applyFill="1" applyBorder="1" applyAlignment="1">
      <alignment horizontal="center" vertical="center"/>
    </xf>
    <xf numFmtId="0" fontId="7" fillId="3" borderId="52" xfId="0" applyFont="1" applyFill="1" applyBorder="1" applyAlignment="1">
      <alignment horizontal="center" vertical="center" wrapText="1"/>
    </xf>
    <xf numFmtId="168" fontId="6" fillId="5" borderId="21" xfId="0" applyNumberFormat="1" applyFont="1" applyFill="1" applyBorder="1" applyAlignment="1">
      <alignment horizontal="center" vertical="center"/>
    </xf>
    <xf numFmtId="0" fontId="13" fillId="4" borderId="3" xfId="0" applyFont="1" applyFill="1" applyBorder="1" applyAlignment="1">
      <alignment vertical="center" wrapText="1"/>
    </xf>
    <xf numFmtId="0" fontId="7" fillId="4" borderId="1" xfId="0" applyFont="1" applyFill="1" applyBorder="1" applyAlignment="1">
      <alignment vertical="center" wrapText="1"/>
    </xf>
    <xf numFmtId="168" fontId="6" fillId="4" borderId="1" xfId="0" applyNumberFormat="1" applyFont="1" applyFill="1" applyBorder="1" applyAlignment="1">
      <alignment vertical="center"/>
    </xf>
    <xf numFmtId="167" fontId="6" fillId="4" borderId="9" xfId="1" applyNumberFormat="1" applyFont="1" applyFill="1" applyBorder="1" applyAlignment="1">
      <alignment vertical="center"/>
    </xf>
    <xf numFmtId="9" fontId="6" fillId="7" borderId="53" xfId="3" applyFont="1" applyFill="1" applyBorder="1" applyAlignment="1">
      <alignment horizontal="center" vertical="center"/>
    </xf>
    <xf numFmtId="0" fontId="7" fillId="6" borderId="54" xfId="0" applyFont="1" applyFill="1" applyBorder="1" applyAlignment="1">
      <alignment horizontal="center" vertical="center" wrapText="1"/>
    </xf>
    <xf numFmtId="168" fontId="6" fillId="7" borderId="55" xfId="0" applyNumberFormat="1" applyFont="1" applyFill="1" applyBorder="1" applyAlignment="1">
      <alignment horizontal="center" vertical="center"/>
    </xf>
    <xf numFmtId="167" fontId="6" fillId="4" borderId="0" xfId="0" applyNumberFormat="1" applyFont="1" applyFill="1"/>
    <xf numFmtId="0" fontId="7" fillId="6" borderId="56" xfId="0" applyFont="1" applyFill="1" applyBorder="1" applyAlignment="1">
      <alignment horizontal="center" vertical="center" wrapText="1"/>
    </xf>
    <xf numFmtId="0" fontId="7" fillId="3" borderId="20" xfId="0" applyFont="1" applyFill="1" applyBorder="1" applyAlignment="1">
      <alignment horizontal="center" vertical="center" wrapText="1"/>
    </xf>
    <xf numFmtId="9" fontId="6" fillId="5" borderId="21" xfId="0" applyNumberFormat="1" applyFont="1" applyFill="1" applyBorder="1" applyAlignment="1">
      <alignment horizontal="center" vertical="center"/>
    </xf>
    <xf numFmtId="2" fontId="0" fillId="0" borderId="0" xfId="3" applyNumberFormat="1" applyFont="1" applyAlignment="1">
      <alignment horizontal="right"/>
    </xf>
    <xf numFmtId="9" fontId="0" fillId="0" borderId="0" xfId="0" applyNumberFormat="1" applyFont="1"/>
    <xf numFmtId="0" fontId="7" fillId="4" borderId="2" xfId="0" applyFont="1" applyFill="1" applyBorder="1" applyAlignment="1">
      <alignment horizontal="centerContinuous"/>
    </xf>
    <xf numFmtId="10" fontId="6" fillId="4" borderId="0" xfId="0" applyNumberFormat="1" applyFont="1" applyFill="1" applyBorder="1" applyAlignment="1">
      <alignment horizontal="center" vertical="center"/>
    </xf>
    <xf numFmtId="9" fontId="6" fillId="4" borderId="0" xfId="0" applyNumberFormat="1" applyFont="1" applyFill="1" applyBorder="1" applyAlignment="1">
      <alignment horizontal="center" vertical="center"/>
    </xf>
    <xf numFmtId="9" fontId="6" fillId="4" borderId="0" xfId="3" applyFont="1" applyFill="1" applyBorder="1" applyAlignment="1">
      <alignment horizontal="center" vertical="center"/>
    </xf>
    <xf numFmtId="167" fontId="6" fillId="4" borderId="0" xfId="0" applyNumberFormat="1" applyFont="1" applyFill="1" applyBorder="1" applyAlignment="1">
      <alignment horizontal="center" vertical="center"/>
    </xf>
    <xf numFmtId="0" fontId="6" fillId="4" borderId="0" xfId="0" applyFont="1" applyFill="1" applyBorder="1" applyAlignment="1">
      <alignment vertical="top"/>
    </xf>
    <xf numFmtId="0" fontId="7" fillId="4" borderId="1" xfId="0" applyFont="1" applyFill="1" applyBorder="1"/>
    <xf numFmtId="9" fontId="6" fillId="12" borderId="35" xfId="3" applyFont="1" applyFill="1" applyBorder="1" applyAlignment="1">
      <alignment horizontal="center" vertical="center"/>
    </xf>
    <xf numFmtId="0" fontId="7" fillId="3" borderId="60" xfId="0" applyFont="1" applyFill="1" applyBorder="1" applyAlignment="1">
      <alignment horizontal="center" vertical="center" wrapText="1"/>
    </xf>
    <xf numFmtId="10" fontId="6" fillId="5" borderId="61" xfId="0" applyNumberFormat="1" applyFont="1" applyFill="1" applyBorder="1" applyAlignment="1">
      <alignment horizontal="center" vertical="center"/>
    </xf>
    <xf numFmtId="0" fontId="7" fillId="3" borderId="54" xfId="0" applyFont="1" applyFill="1" applyBorder="1" applyAlignment="1">
      <alignment horizontal="center" vertical="center" wrapText="1"/>
    </xf>
    <xf numFmtId="9" fontId="6" fillId="5" borderId="53" xfId="0" applyNumberFormat="1" applyFont="1" applyFill="1" applyBorder="1" applyAlignment="1">
      <alignment horizontal="center" vertical="center"/>
    </xf>
    <xf numFmtId="0" fontId="7" fillId="3" borderId="62" xfId="0" applyFont="1" applyFill="1" applyBorder="1" applyAlignment="1">
      <alignment horizontal="center" vertical="center" wrapText="1"/>
    </xf>
    <xf numFmtId="9" fontId="6" fillId="5" borderId="63" xfId="0" applyNumberFormat="1" applyFont="1" applyFill="1" applyBorder="1" applyAlignment="1">
      <alignment horizontal="center" vertical="center"/>
    </xf>
    <xf numFmtId="167" fontId="6" fillId="5" borderId="61" xfId="0" applyNumberFormat="1" applyFont="1" applyFill="1" applyBorder="1" applyAlignment="1">
      <alignment horizontal="center" vertical="center"/>
    </xf>
    <xf numFmtId="0" fontId="6" fillId="4" borderId="9" xfId="0" applyFont="1" applyFill="1" applyBorder="1"/>
    <xf numFmtId="167" fontId="0" fillId="4" borderId="0" xfId="0" applyNumberFormat="1" applyFill="1"/>
    <xf numFmtId="0" fontId="0" fillId="4" borderId="0" xfId="0" applyNumberFormat="1" applyFill="1"/>
    <xf numFmtId="0" fontId="6" fillId="12" borderId="28" xfId="1" applyNumberFormat="1" applyFont="1" applyFill="1" applyBorder="1" applyAlignment="1">
      <alignment horizontal="center" vertical="center"/>
    </xf>
    <xf numFmtId="0" fontId="6" fillId="9" borderId="67" xfId="0" applyFont="1" applyFill="1" applyBorder="1" applyAlignment="1">
      <alignment horizontal="left" vertical="top" wrapText="1"/>
    </xf>
    <xf numFmtId="0" fontId="6" fillId="9" borderId="68" xfId="0" applyFont="1" applyFill="1" applyBorder="1" applyAlignment="1">
      <alignment horizontal="left" vertical="top" wrapText="1"/>
    </xf>
    <xf numFmtId="0" fontId="11" fillId="9" borderId="69" xfId="2" applyFont="1" applyFill="1" applyBorder="1" applyAlignment="1">
      <alignment horizontal="left" vertical="top" wrapText="1"/>
    </xf>
    <xf numFmtId="0" fontId="7" fillId="4" borderId="6" xfId="0" applyFont="1" applyFill="1" applyBorder="1" applyAlignment="1">
      <alignment vertical="center" wrapText="1"/>
    </xf>
    <xf numFmtId="167" fontId="6" fillId="11" borderId="8" xfId="0" applyNumberFormat="1" applyFont="1" applyFill="1" applyBorder="1" applyAlignment="1">
      <alignment horizontal="center" vertical="center"/>
    </xf>
    <xf numFmtId="0" fontId="16" fillId="4" borderId="0" xfId="0" applyFont="1" applyFill="1" applyBorder="1" applyAlignment="1"/>
    <xf numFmtId="167" fontId="0" fillId="0" borderId="0" xfId="0" applyNumberFormat="1" applyFont="1" applyFill="1"/>
    <xf numFmtId="9" fontId="0" fillId="0" borderId="0" xfId="3" applyFont="1" applyFill="1"/>
    <xf numFmtId="168" fontId="0" fillId="0" borderId="0" xfId="3" applyNumberFormat="1" applyFont="1" applyFill="1"/>
    <xf numFmtId="168" fontId="0" fillId="0" borderId="0" xfId="0" applyNumberFormat="1" applyFont="1" applyFill="1"/>
    <xf numFmtId="0" fontId="12" fillId="15" borderId="71" xfId="0" applyFont="1" applyFill="1" applyBorder="1" applyAlignment="1">
      <alignment horizontal="center" vertical="center"/>
    </xf>
    <xf numFmtId="0" fontId="12" fillId="15" borderId="72" xfId="0" applyFont="1" applyFill="1" applyBorder="1" applyAlignment="1">
      <alignment horizontal="center" vertical="center"/>
    </xf>
    <xf numFmtId="0" fontId="12" fillId="15" borderId="74" xfId="0" applyFont="1" applyFill="1" applyBorder="1" applyAlignment="1">
      <alignment horizontal="center" vertical="center"/>
    </xf>
    <xf numFmtId="0" fontId="12" fillId="15" borderId="75" xfId="0" applyFont="1" applyFill="1" applyBorder="1" applyAlignment="1">
      <alignment horizontal="center" vertical="center"/>
    </xf>
    <xf numFmtId="0" fontId="12" fillId="15" borderId="76" xfId="0" applyFont="1" applyFill="1" applyBorder="1" applyAlignment="1">
      <alignment horizontal="center" vertical="center"/>
    </xf>
    <xf numFmtId="0" fontId="12" fillId="4" borderId="0" xfId="0" applyFont="1" applyFill="1" applyAlignment="1">
      <alignment vertical="top" wrapText="1"/>
    </xf>
    <xf numFmtId="0" fontId="20" fillId="4" borderId="1" xfId="0" applyFont="1" applyFill="1" applyBorder="1" applyAlignment="1">
      <alignment vertical="center"/>
    </xf>
    <xf numFmtId="0" fontId="20" fillId="4" borderId="0" xfId="0" applyFont="1" applyFill="1" applyBorder="1" applyAlignment="1">
      <alignment vertical="center"/>
    </xf>
    <xf numFmtId="172" fontId="0" fillId="0" borderId="0" xfId="0" applyNumberFormat="1" applyFont="1" applyFill="1"/>
    <xf numFmtId="174" fontId="0" fillId="0" borderId="0" xfId="0" applyNumberFormat="1" applyFont="1" applyFill="1" applyAlignment="1"/>
    <xf numFmtId="174" fontId="0" fillId="0" borderId="0" xfId="0" applyNumberFormat="1" applyFont="1" applyFill="1"/>
    <xf numFmtId="174" fontId="0" fillId="0" borderId="0" xfId="3" applyNumberFormat="1" applyFont="1" applyFill="1"/>
    <xf numFmtId="1" fontId="0" fillId="0" borderId="0" xfId="0" applyNumberFormat="1" applyFont="1" applyFill="1"/>
    <xf numFmtId="165" fontId="0" fillId="0" borderId="0" xfId="0" applyNumberFormat="1" applyFont="1" applyFill="1"/>
    <xf numFmtId="0" fontId="4" fillId="0" borderId="0" xfId="2" applyAlignment="1">
      <alignment vertical="top" wrapText="1"/>
    </xf>
    <xf numFmtId="0" fontId="0" fillId="0" borderId="0" xfId="0" applyAlignment="1">
      <alignment vertical="top" wrapText="1"/>
    </xf>
    <xf numFmtId="0" fontId="23" fillId="0" borderId="0" xfId="0" applyFont="1"/>
    <xf numFmtId="0" fontId="30" fillId="0" borderId="0" xfId="0" applyFont="1" applyFill="1"/>
    <xf numFmtId="0" fontId="0" fillId="19" borderId="0" xfId="0" applyFont="1" applyFill="1" applyAlignment="1">
      <alignment horizontal="left" vertical="top" wrapText="1"/>
    </xf>
    <xf numFmtId="168" fontId="26" fillId="0" borderId="0" xfId="0" applyNumberFormat="1" applyFont="1" applyFill="1"/>
    <xf numFmtId="164" fontId="0" fillId="0" borderId="0" xfId="0" applyNumberFormat="1" applyFont="1" applyFill="1"/>
    <xf numFmtId="0" fontId="0" fillId="0" borderId="0" xfId="0" applyFill="1"/>
    <xf numFmtId="9" fontId="0" fillId="0" borderId="0" xfId="0" applyNumberFormat="1"/>
    <xf numFmtId="0" fontId="0" fillId="0" borderId="0" xfId="0" applyAlignment="1"/>
    <xf numFmtId="0" fontId="5" fillId="0" borderId="0" xfId="0" applyFont="1" applyAlignment="1"/>
    <xf numFmtId="165" fontId="0" fillId="0" borderId="0" xfId="0" applyNumberFormat="1"/>
    <xf numFmtId="10" fontId="0" fillId="0" borderId="0" xfId="0" applyNumberFormat="1"/>
    <xf numFmtId="0" fontId="12" fillId="21" borderId="72" xfId="0" applyFont="1" applyFill="1" applyBorder="1" applyAlignment="1">
      <alignment horizontal="center" vertical="center"/>
    </xf>
    <xf numFmtId="0" fontId="0" fillId="0" borderId="0" xfId="0" applyFont="1" applyAlignment="1">
      <alignment horizontal="left"/>
    </xf>
    <xf numFmtId="2" fontId="3" fillId="0" borderId="0" xfId="3" applyNumberFormat="1" applyFont="1" applyAlignment="1">
      <alignment horizontal="right"/>
    </xf>
    <xf numFmtId="0" fontId="0" fillId="0" borderId="0" xfId="0" applyNumberFormat="1" applyFont="1"/>
    <xf numFmtId="165" fontId="0" fillId="0" borderId="0" xfId="0" applyNumberFormat="1" applyFont="1"/>
    <xf numFmtId="0" fontId="25" fillId="0" borderId="0" xfId="0" applyFont="1" applyAlignment="1"/>
    <xf numFmtId="0" fontId="26" fillId="0" borderId="0" xfId="4" applyFont="1" applyAlignment="1"/>
    <xf numFmtId="0" fontId="0" fillId="0" borderId="0" xfId="0" applyFont="1" applyFill="1" applyAlignment="1">
      <alignment horizontal="left"/>
    </xf>
    <xf numFmtId="0" fontId="0" fillId="0" borderId="0" xfId="0" applyFont="1" applyFill="1" applyAlignment="1"/>
    <xf numFmtId="0" fontId="25" fillId="0" borderId="0" xfId="0" applyFont="1" applyAlignment="1">
      <alignment horizontal="left"/>
    </xf>
    <xf numFmtId="0" fontId="36" fillId="0" borderId="0" xfId="0" applyFont="1" applyAlignment="1"/>
    <xf numFmtId="0" fontId="27" fillId="0" borderId="0" xfId="0" applyFont="1" applyAlignment="1"/>
    <xf numFmtId="0" fontId="7" fillId="8" borderId="15" xfId="0" applyFont="1" applyFill="1" applyBorder="1" applyAlignment="1">
      <alignment horizontal="center" vertical="center" wrapText="1"/>
    </xf>
    <xf numFmtId="0" fontId="29" fillId="0" borderId="0" xfId="0" applyFont="1" applyFill="1" applyAlignment="1">
      <alignment wrapText="1"/>
    </xf>
    <xf numFmtId="0" fontId="0" fillId="0" borderId="0" xfId="0" applyFill="1" applyAlignment="1">
      <alignment wrapText="1"/>
    </xf>
    <xf numFmtId="0" fontId="5" fillId="0" borderId="0" xfId="0" applyFont="1" applyFill="1"/>
    <xf numFmtId="0" fontId="12" fillId="15" borderId="92" xfId="0" applyFont="1" applyFill="1" applyBorder="1" applyAlignment="1">
      <alignment horizontal="center" vertical="center"/>
    </xf>
    <xf numFmtId="168" fontId="7" fillId="5" borderId="63" xfId="0" applyNumberFormat="1" applyFont="1" applyFill="1" applyBorder="1" applyAlignment="1">
      <alignment horizontal="center" vertical="center"/>
    </xf>
    <xf numFmtId="0" fontId="7" fillId="2" borderId="2" xfId="0" applyFont="1" applyFill="1" applyBorder="1" applyAlignment="1">
      <alignment horizontal="center" vertical="center" wrapText="1"/>
    </xf>
    <xf numFmtId="0" fontId="7" fillId="10" borderId="10" xfId="0" applyFont="1" applyFill="1" applyBorder="1" applyAlignment="1">
      <alignment horizontal="center" vertical="center" wrapText="1"/>
    </xf>
    <xf numFmtId="0" fontId="7" fillId="2" borderId="0" xfId="0" applyFont="1" applyFill="1" applyBorder="1" applyAlignment="1">
      <alignment horizontal="center" vertical="center" wrapText="1"/>
    </xf>
    <xf numFmtId="0" fontId="7" fillId="2" borderId="8" xfId="0" applyFont="1" applyFill="1" applyBorder="1" applyAlignment="1">
      <alignment horizontal="center" vertical="center" wrapText="1"/>
    </xf>
    <xf numFmtId="169" fontId="6" fillId="11" borderId="0" xfId="0" applyNumberFormat="1" applyFont="1" applyFill="1" applyBorder="1" applyAlignment="1">
      <alignment horizontal="center"/>
    </xf>
    <xf numFmtId="169" fontId="6" fillId="11" borderId="0" xfId="0" applyNumberFormat="1" applyFont="1" applyFill="1" applyBorder="1" applyAlignment="1">
      <alignment horizontal="center" vertical="center"/>
    </xf>
    <xf numFmtId="172" fontId="6" fillId="11" borderId="0" xfId="0" applyNumberFormat="1" applyFont="1" applyFill="1" applyBorder="1" applyAlignment="1">
      <alignment horizontal="center" vertical="center"/>
    </xf>
    <xf numFmtId="2" fontId="6" fillId="11" borderId="1" xfId="0" applyNumberFormat="1" applyFont="1" applyFill="1" applyBorder="1" applyAlignment="1">
      <alignment horizontal="center" vertical="center"/>
    </xf>
    <xf numFmtId="0" fontId="7" fillId="8" borderId="58" xfId="0" applyFont="1" applyFill="1" applyBorder="1" applyAlignment="1">
      <alignment horizontal="center" vertical="center" wrapText="1"/>
    </xf>
    <xf numFmtId="0" fontId="7" fillId="8" borderId="59" xfId="0" applyFont="1" applyFill="1" applyBorder="1" applyAlignment="1">
      <alignment horizontal="center" vertical="center" wrapText="1"/>
    </xf>
    <xf numFmtId="167" fontId="6" fillId="12" borderId="30" xfId="1" applyNumberFormat="1" applyFont="1" applyFill="1" applyBorder="1" applyAlignment="1">
      <alignment horizontal="center" vertical="center"/>
    </xf>
    <xf numFmtId="173" fontId="6" fillId="11" borderId="0" xfId="0" applyNumberFormat="1" applyFont="1" applyFill="1" applyBorder="1" applyAlignment="1">
      <alignment horizontal="center" vertical="center"/>
    </xf>
    <xf numFmtId="0" fontId="7" fillId="4" borderId="0" xfId="0" applyFont="1" applyFill="1" applyBorder="1" applyAlignment="1">
      <alignment horizontal="center" vertical="center" wrapText="1"/>
    </xf>
    <xf numFmtId="0" fontId="6" fillId="5" borderId="21" xfId="0" applyNumberFormat="1" applyFont="1" applyFill="1" applyBorder="1" applyAlignment="1">
      <alignment horizontal="center" vertical="center"/>
    </xf>
    <xf numFmtId="0" fontId="6" fillId="0" borderId="8" xfId="0" applyFont="1" applyBorder="1"/>
    <xf numFmtId="0" fontId="7" fillId="4" borderId="2" xfId="0" applyFont="1" applyFill="1" applyBorder="1" applyAlignment="1">
      <alignment horizontal="center" vertical="center" wrapText="1"/>
    </xf>
    <xf numFmtId="0" fontId="16" fillId="4" borderId="8" xfId="0" applyFont="1" applyFill="1" applyBorder="1" applyAlignment="1">
      <alignment vertical="center" wrapText="1"/>
    </xf>
    <xf numFmtId="176" fontId="6" fillId="4" borderId="0" xfId="0" applyNumberFormat="1" applyFont="1" applyFill="1"/>
    <xf numFmtId="0" fontId="19" fillId="17" borderId="10" xfId="0" applyFont="1" applyFill="1" applyBorder="1" applyAlignment="1">
      <alignment horizontal="right"/>
    </xf>
    <xf numFmtId="2" fontId="6" fillId="18" borderId="0" xfId="0" applyNumberFormat="1" applyFont="1" applyFill="1" applyBorder="1"/>
    <xf numFmtId="2" fontId="6" fillId="4" borderId="0" xfId="0" applyNumberFormat="1" applyFont="1" applyFill="1" applyBorder="1"/>
    <xf numFmtId="0" fontId="19" fillId="17" borderId="0" xfId="0" applyFont="1" applyFill="1" applyBorder="1"/>
    <xf numFmtId="2" fontId="6" fillId="18" borderId="8" xfId="0" applyNumberFormat="1" applyFont="1" applyFill="1" applyBorder="1"/>
    <xf numFmtId="0" fontId="6" fillId="4" borderId="0" xfId="0" applyFont="1" applyFill="1" applyBorder="1" applyAlignment="1">
      <alignment vertical="center"/>
    </xf>
    <xf numFmtId="2" fontId="6" fillId="18" borderId="8" xfId="0" applyNumberFormat="1" applyFont="1" applyFill="1" applyBorder="1" applyAlignment="1">
      <alignment horizontal="center" vertical="center"/>
    </xf>
    <xf numFmtId="0" fontId="16" fillId="4" borderId="8" xfId="0" applyFont="1" applyFill="1" applyBorder="1" applyAlignment="1">
      <alignment horizontal="center" vertical="center" wrapText="1"/>
    </xf>
    <xf numFmtId="2" fontId="6" fillId="18" borderId="9" xfId="0" applyNumberFormat="1" applyFont="1" applyFill="1" applyBorder="1" applyAlignment="1">
      <alignment horizontal="center" vertical="center"/>
    </xf>
    <xf numFmtId="167" fontId="6" fillId="12" borderId="57" xfId="1" applyNumberFormat="1" applyFont="1" applyFill="1" applyBorder="1" applyAlignment="1">
      <alignment horizontal="center" vertical="center"/>
    </xf>
    <xf numFmtId="0" fontId="43" fillId="0" borderId="0" xfId="10" applyNumberFormat="1" applyFont="1" applyFill="1" applyBorder="1" applyAlignment="1" applyProtection="1"/>
    <xf numFmtId="0" fontId="34" fillId="0" borderId="0" xfId="6"/>
    <xf numFmtId="0" fontId="34" fillId="0" borderId="0" xfId="6" applyFill="1"/>
    <xf numFmtId="0" fontId="42" fillId="0" borderId="0" xfId="6" applyFont="1" applyFill="1"/>
    <xf numFmtId="0" fontId="0" fillId="0" borderId="0" xfId="0"/>
    <xf numFmtId="0" fontId="6" fillId="0" borderId="0" xfId="0" applyFont="1"/>
    <xf numFmtId="9" fontId="8" fillId="4" borderId="0" xfId="0" applyNumberFormat="1" applyFont="1" applyFill="1" applyBorder="1"/>
    <xf numFmtId="0" fontId="8" fillId="4" borderId="0" xfId="0" applyFont="1" applyFill="1" applyBorder="1"/>
    <xf numFmtId="10" fontId="6" fillId="4" borderId="0" xfId="0" applyNumberFormat="1" applyFont="1" applyFill="1" applyBorder="1"/>
    <xf numFmtId="9" fontId="6" fillId="4" borderId="0" xfId="0" applyNumberFormat="1" applyFont="1" applyFill="1" applyBorder="1"/>
    <xf numFmtId="0" fontId="6" fillId="4" borderId="0" xfId="0" applyFont="1" applyFill="1" applyBorder="1"/>
    <xf numFmtId="0" fontId="6" fillId="4" borderId="1" xfId="0" applyFont="1" applyFill="1" applyBorder="1"/>
    <xf numFmtId="0" fontId="6" fillId="4" borderId="4" xfId="0" applyFont="1" applyFill="1" applyBorder="1"/>
    <xf numFmtId="0" fontId="6" fillId="4" borderId="5" xfId="0" applyFont="1" applyFill="1" applyBorder="1"/>
    <xf numFmtId="0" fontId="6" fillId="4" borderId="6" xfId="0" applyFont="1" applyFill="1" applyBorder="1"/>
    <xf numFmtId="0" fontId="6" fillId="4" borderId="7" xfId="0" applyFont="1" applyFill="1" applyBorder="1"/>
    <xf numFmtId="0" fontId="6" fillId="4" borderId="8" xfId="0" applyFont="1" applyFill="1" applyBorder="1"/>
    <xf numFmtId="9" fontId="6" fillId="5" borderId="14" xfId="0" applyNumberFormat="1" applyFont="1" applyFill="1" applyBorder="1" applyAlignment="1">
      <alignment horizontal="center" vertical="center"/>
    </xf>
    <xf numFmtId="0" fontId="6" fillId="4" borderId="0" xfId="0" applyFont="1" applyFill="1"/>
    <xf numFmtId="0" fontId="6" fillId="4" borderId="10" xfId="0" applyFont="1" applyFill="1" applyBorder="1"/>
    <xf numFmtId="0" fontId="9" fillId="0" borderId="15" xfId="0" applyFont="1" applyFill="1" applyBorder="1" applyAlignment="1">
      <alignment vertical="center"/>
    </xf>
    <xf numFmtId="0" fontId="10" fillId="4" borderId="0" xfId="0" applyFont="1" applyFill="1" applyAlignment="1">
      <alignment vertical="center"/>
    </xf>
    <xf numFmtId="0" fontId="7" fillId="8" borderId="16" xfId="0" applyFont="1" applyFill="1" applyBorder="1" applyAlignment="1">
      <alignment horizontal="center" vertical="center" wrapText="1"/>
    </xf>
    <xf numFmtId="0" fontId="6" fillId="8" borderId="17" xfId="0" applyFont="1" applyFill="1" applyBorder="1" applyAlignment="1">
      <alignment wrapText="1"/>
    </xf>
    <xf numFmtId="0" fontId="6" fillId="8" borderId="18" xfId="0" applyFont="1" applyFill="1" applyBorder="1" applyAlignment="1"/>
    <xf numFmtId="0" fontId="12" fillId="4" borderId="0" xfId="0" applyFont="1" applyFill="1" applyBorder="1" applyAlignment="1">
      <alignment horizontal="right" vertical="center"/>
    </xf>
    <xf numFmtId="0" fontId="14" fillId="4" borderId="0" xfId="0" applyFont="1" applyFill="1"/>
    <xf numFmtId="0" fontId="6" fillId="12" borderId="19" xfId="0" applyFont="1" applyFill="1" applyBorder="1" applyAlignment="1">
      <alignment horizontal="center" vertical="center"/>
    </xf>
    <xf numFmtId="0" fontId="10" fillId="4" borderId="1" xfId="0" applyFont="1" applyFill="1" applyBorder="1" applyAlignment="1">
      <alignment vertical="center"/>
    </xf>
    <xf numFmtId="0" fontId="12" fillId="15" borderId="2" xfId="0" applyFont="1" applyFill="1" applyBorder="1"/>
    <xf numFmtId="0" fontId="18" fillId="15" borderId="2" xfId="0" applyFont="1" applyFill="1" applyBorder="1"/>
    <xf numFmtId="0" fontId="18" fillId="4" borderId="2" xfId="0" applyFont="1" applyFill="1" applyBorder="1"/>
    <xf numFmtId="0" fontId="18" fillId="4" borderId="7" xfId="0" applyFont="1" applyFill="1" applyBorder="1"/>
    <xf numFmtId="0" fontId="12" fillId="15" borderId="0" xfId="0" applyFont="1" applyFill="1" applyBorder="1"/>
    <xf numFmtId="0" fontId="18" fillId="15" borderId="0" xfId="0" applyFont="1" applyFill="1" applyBorder="1"/>
    <xf numFmtId="0" fontId="18" fillId="4" borderId="0" xfId="0" applyFont="1" applyFill="1" applyBorder="1"/>
    <xf numFmtId="0" fontId="18" fillId="4" borderId="8" xfId="0" applyFont="1" applyFill="1" applyBorder="1"/>
    <xf numFmtId="0" fontId="13" fillId="14" borderId="10" xfId="0" applyFont="1" applyFill="1" applyBorder="1" applyAlignment="1">
      <alignment horizontal="left" vertical="top"/>
    </xf>
    <xf numFmtId="0" fontId="18" fillId="14" borderId="0" xfId="0" applyFont="1" applyFill="1" applyBorder="1"/>
    <xf numFmtId="167" fontId="18" fillId="16" borderId="0" xfId="0" applyNumberFormat="1" applyFont="1" applyFill="1" applyBorder="1" applyAlignment="1">
      <alignment horizontal="right"/>
    </xf>
    <xf numFmtId="0" fontId="13" fillId="14" borderId="10" xfId="0" applyFont="1" applyFill="1" applyBorder="1" applyAlignment="1">
      <alignment horizontal="right"/>
    </xf>
    <xf numFmtId="0" fontId="13" fillId="14" borderId="0" xfId="0" applyFont="1" applyFill="1" applyBorder="1"/>
    <xf numFmtId="0" fontId="18" fillId="14" borderId="8" xfId="0" applyFont="1" applyFill="1" applyBorder="1"/>
    <xf numFmtId="0" fontId="8" fillId="4" borderId="2" xfId="0" applyFont="1" applyFill="1" applyBorder="1" applyAlignment="1">
      <alignment horizontal="center"/>
    </xf>
    <xf numFmtId="0" fontId="7" fillId="4" borderId="2" xfId="0" applyFont="1" applyFill="1" applyBorder="1" applyAlignment="1">
      <alignment horizontal="center"/>
    </xf>
    <xf numFmtId="0" fontId="8" fillId="4" borderId="0" xfId="0" applyFont="1" applyFill="1" applyBorder="1" applyAlignment="1">
      <alignment horizontal="center"/>
    </xf>
    <xf numFmtId="0" fontId="19" fillId="4" borderId="0" xfId="0" applyFont="1" applyFill="1"/>
    <xf numFmtId="0" fontId="4" fillId="0" borderId="0" xfId="2"/>
    <xf numFmtId="0" fontId="0" fillId="0" borderId="0" xfId="0" applyFont="1"/>
    <xf numFmtId="0" fontId="17" fillId="4" borderId="0" xfId="0" applyFont="1" applyFill="1" applyBorder="1" applyAlignment="1">
      <alignment vertical="center"/>
    </xf>
    <xf numFmtId="167" fontId="0" fillId="0" borderId="0" xfId="0" applyNumberFormat="1"/>
    <xf numFmtId="0" fontId="0" fillId="0" borderId="0" xfId="0" applyNumberFormat="1"/>
    <xf numFmtId="167" fontId="6" fillId="12" borderId="28" xfId="1" applyNumberFormat="1" applyFont="1" applyFill="1" applyBorder="1" applyAlignment="1">
      <alignment horizontal="center" vertical="center"/>
    </xf>
    <xf numFmtId="0" fontId="7" fillId="8" borderId="31" xfId="0" applyFont="1" applyFill="1" applyBorder="1" applyAlignment="1">
      <alignment horizontal="center" vertical="center" wrapText="1"/>
    </xf>
    <xf numFmtId="167" fontId="6" fillId="12" borderId="33" xfId="1" applyNumberFormat="1" applyFont="1" applyFill="1" applyBorder="1" applyAlignment="1">
      <alignment horizontal="center" vertical="center"/>
    </xf>
    <xf numFmtId="0" fontId="7" fillId="8" borderId="34" xfId="0" applyFont="1" applyFill="1" applyBorder="1" applyAlignment="1">
      <alignment horizontal="center" vertical="center" wrapText="1"/>
    </xf>
    <xf numFmtId="9" fontId="8" fillId="0" borderId="0" xfId="0" applyNumberFormat="1" applyFont="1" applyFill="1" applyBorder="1"/>
    <xf numFmtId="9" fontId="6" fillId="0" borderId="0" xfId="0" applyNumberFormat="1" applyFont="1" applyFill="1" applyBorder="1"/>
    <xf numFmtId="0" fontId="16" fillId="4" borderId="0" xfId="0" applyFont="1" applyFill="1" applyBorder="1" applyAlignment="1">
      <alignment horizontal="center" vertical="center" wrapText="1"/>
    </xf>
    <xf numFmtId="2" fontId="6" fillId="4" borderId="0" xfId="0" applyNumberFormat="1" applyFont="1" applyFill="1" applyBorder="1" applyAlignment="1">
      <alignment horizontal="center" vertical="center"/>
    </xf>
    <xf numFmtId="0" fontId="0" fillId="4" borderId="0" xfId="0" applyFill="1"/>
    <xf numFmtId="0" fontId="12" fillId="15" borderId="1" xfId="0" applyFont="1" applyFill="1" applyBorder="1"/>
    <xf numFmtId="0" fontId="18" fillId="15" borderId="1" xfId="0" applyFont="1" applyFill="1" applyBorder="1"/>
    <xf numFmtId="0" fontId="7" fillId="3" borderId="38" xfId="0" applyFont="1" applyFill="1" applyBorder="1" applyAlignment="1">
      <alignment horizontal="center" vertical="center" wrapText="1"/>
    </xf>
    <xf numFmtId="9" fontId="6" fillId="5" borderId="39" xfId="0" applyNumberFormat="1" applyFont="1" applyFill="1" applyBorder="1" applyAlignment="1">
      <alignment horizontal="center" vertical="center"/>
    </xf>
    <xf numFmtId="0" fontId="7" fillId="4" borderId="10" xfId="0" applyFont="1" applyFill="1" applyBorder="1" applyAlignment="1">
      <alignment horizontal="center" vertical="center" wrapText="1"/>
    </xf>
    <xf numFmtId="0" fontId="6" fillId="4" borderId="43" xfId="0" applyFont="1" applyFill="1" applyBorder="1"/>
    <xf numFmtId="0" fontId="7" fillId="6" borderId="45" xfId="0" applyFont="1" applyFill="1" applyBorder="1" applyAlignment="1">
      <alignment vertical="center" wrapText="1"/>
    </xf>
    <xf numFmtId="0" fontId="7" fillId="6" borderId="49" xfId="0" applyFont="1" applyFill="1" applyBorder="1" applyAlignment="1">
      <alignment horizontal="center" vertical="center" wrapText="1"/>
    </xf>
    <xf numFmtId="0" fontId="7" fillId="6" borderId="42" xfId="0" applyFont="1" applyFill="1" applyBorder="1" applyAlignment="1">
      <alignment horizontal="center" vertical="center" wrapText="1"/>
    </xf>
    <xf numFmtId="0" fontId="7" fillId="3" borderId="50" xfId="0" applyFont="1" applyFill="1" applyBorder="1" applyAlignment="1">
      <alignment horizontal="center" vertical="center" wrapText="1"/>
    </xf>
    <xf numFmtId="9" fontId="6" fillId="5" borderId="51" xfId="0" applyNumberFormat="1" applyFont="1" applyFill="1" applyBorder="1" applyAlignment="1">
      <alignment horizontal="center" vertical="center"/>
    </xf>
    <xf numFmtId="0" fontId="7" fillId="6" borderId="27" xfId="0" applyFont="1" applyFill="1" applyBorder="1" applyAlignment="1">
      <alignment horizontal="center" vertical="center" wrapText="1"/>
    </xf>
    <xf numFmtId="0" fontId="7" fillId="3" borderId="52" xfId="0" applyFont="1" applyFill="1" applyBorder="1" applyAlignment="1">
      <alignment horizontal="center" vertical="center" wrapText="1"/>
    </xf>
    <xf numFmtId="0" fontId="13" fillId="4" borderId="3" xfId="0" applyFont="1" applyFill="1" applyBorder="1" applyAlignment="1">
      <alignment vertical="center" wrapText="1"/>
    </xf>
    <xf numFmtId="0" fontId="7" fillId="4" borderId="1" xfId="0" applyFont="1" applyFill="1" applyBorder="1" applyAlignment="1">
      <alignment vertical="center" wrapText="1"/>
    </xf>
    <xf numFmtId="168" fontId="6" fillId="4" borderId="1" xfId="0" applyNumberFormat="1" applyFont="1" applyFill="1" applyBorder="1" applyAlignment="1">
      <alignment vertical="center"/>
    </xf>
    <xf numFmtId="167" fontId="6" fillId="4" borderId="9" xfId="1" applyNumberFormat="1" applyFont="1" applyFill="1" applyBorder="1" applyAlignment="1">
      <alignment vertical="center"/>
    </xf>
    <xf numFmtId="9" fontId="6" fillId="7" borderId="53" xfId="3" applyFont="1" applyFill="1" applyBorder="1" applyAlignment="1">
      <alignment horizontal="center" vertical="center"/>
    </xf>
    <xf numFmtId="0" fontId="7" fillId="6" borderId="54" xfId="0" applyFont="1" applyFill="1" applyBorder="1" applyAlignment="1">
      <alignment horizontal="center" vertical="center" wrapText="1"/>
    </xf>
    <xf numFmtId="168" fontId="6" fillId="7" borderId="55" xfId="0" applyNumberFormat="1" applyFont="1" applyFill="1" applyBorder="1" applyAlignment="1">
      <alignment horizontal="center" vertical="center"/>
    </xf>
    <xf numFmtId="167" fontId="6" fillId="4" borderId="0" xfId="0" applyNumberFormat="1" applyFont="1" applyFill="1"/>
    <xf numFmtId="0" fontId="7" fillId="6" borderId="56" xfId="0" applyFont="1" applyFill="1" applyBorder="1" applyAlignment="1">
      <alignment horizontal="center" vertical="center" wrapText="1"/>
    </xf>
    <xf numFmtId="0" fontId="36" fillId="0" borderId="0" xfId="0" applyFont="1"/>
    <xf numFmtId="0" fontId="7" fillId="3" borderId="20" xfId="0" applyFont="1" applyFill="1" applyBorder="1" applyAlignment="1">
      <alignment horizontal="center" vertical="center" wrapText="1"/>
    </xf>
    <xf numFmtId="9" fontId="6" fillId="5" borderId="21" xfId="0" applyNumberFormat="1" applyFont="1" applyFill="1" applyBorder="1" applyAlignment="1">
      <alignment horizontal="center" vertical="center"/>
    </xf>
    <xf numFmtId="10" fontId="6" fillId="4" borderId="0" xfId="0" applyNumberFormat="1" applyFont="1" applyFill="1" applyBorder="1" applyAlignment="1">
      <alignment horizontal="center" vertical="center"/>
    </xf>
    <xf numFmtId="9" fontId="6" fillId="4" borderId="0" xfId="0" applyNumberFormat="1" applyFont="1" applyFill="1" applyBorder="1" applyAlignment="1">
      <alignment horizontal="center" vertical="center"/>
    </xf>
    <xf numFmtId="9" fontId="6" fillId="4" borderId="0" xfId="3" applyFont="1" applyFill="1" applyBorder="1" applyAlignment="1">
      <alignment horizontal="center" vertical="center"/>
    </xf>
    <xf numFmtId="167" fontId="6" fillId="4" borderId="0" xfId="0" applyNumberFormat="1" applyFont="1" applyFill="1" applyBorder="1" applyAlignment="1">
      <alignment horizontal="center" vertical="center"/>
    </xf>
    <xf numFmtId="0" fontId="6" fillId="4" borderId="0" xfId="0" applyFont="1" applyFill="1" applyBorder="1" applyAlignment="1">
      <alignment vertical="top"/>
    </xf>
    <xf numFmtId="0" fontId="7" fillId="4" borderId="1" xfId="0" applyFont="1" applyFill="1" applyBorder="1"/>
    <xf numFmtId="9" fontId="6" fillId="12" borderId="35" xfId="3" applyFont="1" applyFill="1" applyBorder="1" applyAlignment="1">
      <alignment horizontal="center" vertical="center"/>
    </xf>
    <xf numFmtId="0" fontId="7" fillId="3" borderId="60" xfId="0" applyFont="1" applyFill="1" applyBorder="1" applyAlignment="1">
      <alignment horizontal="center" vertical="center" wrapText="1"/>
    </xf>
    <xf numFmtId="0" fontId="7" fillId="3" borderId="54" xfId="0" applyFont="1" applyFill="1" applyBorder="1" applyAlignment="1">
      <alignment horizontal="center" vertical="center" wrapText="1"/>
    </xf>
    <xf numFmtId="0" fontId="7" fillId="3" borderId="62" xfId="0" applyFont="1" applyFill="1" applyBorder="1" applyAlignment="1">
      <alignment horizontal="center" vertical="center" wrapText="1"/>
    </xf>
    <xf numFmtId="167" fontId="6" fillId="5" borderId="61" xfId="0" applyNumberFormat="1" applyFont="1" applyFill="1" applyBorder="1" applyAlignment="1">
      <alignment horizontal="center" vertical="center"/>
    </xf>
    <xf numFmtId="0" fontId="6" fillId="4" borderId="9" xfId="0" applyFont="1" applyFill="1" applyBorder="1"/>
    <xf numFmtId="167" fontId="0" fillId="4" borderId="0" xfId="0" applyNumberFormat="1" applyFill="1"/>
    <xf numFmtId="0" fontId="0" fillId="4" borderId="0" xfId="0" applyNumberFormat="1" applyFill="1"/>
    <xf numFmtId="0" fontId="6" fillId="12" borderId="28" xfId="1" applyNumberFormat="1" applyFont="1" applyFill="1" applyBorder="1" applyAlignment="1">
      <alignment horizontal="center" vertical="center"/>
    </xf>
    <xf numFmtId="0" fontId="6" fillId="9" borderId="67" xfId="0" applyFont="1" applyFill="1" applyBorder="1" applyAlignment="1">
      <alignment horizontal="left" vertical="top" wrapText="1"/>
    </xf>
    <xf numFmtId="0" fontId="6" fillId="9" borderId="68" xfId="0" applyFont="1" applyFill="1" applyBorder="1" applyAlignment="1">
      <alignment horizontal="left" vertical="top" wrapText="1"/>
    </xf>
    <xf numFmtId="0" fontId="11" fillId="9" borderId="69" xfId="2" applyFont="1" applyFill="1" applyBorder="1" applyAlignment="1">
      <alignment horizontal="left" vertical="top" wrapText="1"/>
    </xf>
    <xf numFmtId="0" fontId="7" fillId="4" borderId="6" xfId="0" applyFont="1" applyFill="1" applyBorder="1" applyAlignment="1">
      <alignment vertical="center" wrapText="1"/>
    </xf>
    <xf numFmtId="0" fontId="16" fillId="4" borderId="0" xfId="0" applyFont="1" applyFill="1" applyBorder="1" applyAlignment="1"/>
    <xf numFmtId="0" fontId="12" fillId="4" borderId="0" xfId="0" applyFont="1" applyFill="1" applyAlignment="1">
      <alignment vertical="top" wrapText="1"/>
    </xf>
    <xf numFmtId="0" fontId="20" fillId="4" borderId="1" xfId="0" applyFont="1" applyFill="1" applyBorder="1" applyAlignment="1">
      <alignment vertical="center"/>
    </xf>
    <xf numFmtId="0" fontId="20" fillId="4" borderId="0" xfId="0" applyFont="1" applyFill="1" applyBorder="1" applyAlignment="1">
      <alignment vertical="center"/>
    </xf>
    <xf numFmtId="168" fontId="6" fillId="5" borderId="53" xfId="0" applyNumberFormat="1" applyFont="1" applyFill="1" applyBorder="1" applyAlignment="1">
      <alignment horizontal="center" vertical="center"/>
    </xf>
    <xf numFmtId="10" fontId="6" fillId="5" borderId="14" xfId="0" applyNumberFormat="1" applyFont="1" applyFill="1" applyBorder="1" applyAlignment="1">
      <alignment horizontal="center" vertical="center"/>
    </xf>
    <xf numFmtId="0" fontId="0" fillId="0" borderId="0" xfId="0" applyFill="1"/>
    <xf numFmtId="2" fontId="6" fillId="12" borderId="28" xfId="1" applyNumberFormat="1" applyFont="1" applyFill="1" applyBorder="1" applyAlignment="1">
      <alignment horizontal="center" vertical="center"/>
    </xf>
    <xf numFmtId="0" fontId="7" fillId="8" borderId="15" xfId="0" applyFont="1" applyFill="1" applyBorder="1" applyAlignment="1">
      <alignment horizontal="center" vertical="center" wrapText="1"/>
    </xf>
    <xf numFmtId="167" fontId="6" fillId="12" borderId="30" xfId="1" applyNumberFormat="1" applyFont="1" applyFill="1" applyBorder="1" applyAlignment="1">
      <alignment horizontal="center" vertical="center"/>
    </xf>
    <xf numFmtId="167" fontId="3" fillId="0" borderId="0" xfId="3" applyNumberFormat="1" applyFont="1" applyAlignment="1">
      <alignment horizontal="right"/>
    </xf>
    <xf numFmtId="0" fontId="16" fillId="4" borderId="0" xfId="0" applyFont="1" applyFill="1" applyBorder="1" applyAlignment="1">
      <alignment vertical="center" wrapText="1"/>
    </xf>
    <xf numFmtId="0" fontId="38" fillId="4" borderId="10" xfId="0" applyFont="1" applyFill="1" applyBorder="1"/>
    <xf numFmtId="0" fontId="7" fillId="10" borderId="10" xfId="0" applyFont="1" applyFill="1" applyBorder="1" applyAlignment="1">
      <alignment horizontal="left" vertical="center"/>
    </xf>
    <xf numFmtId="0" fontId="19" fillId="17" borderId="10" xfId="0" applyFont="1" applyFill="1" applyBorder="1"/>
    <xf numFmtId="0" fontId="7" fillId="8" borderId="58" xfId="0" applyFont="1" applyFill="1" applyBorder="1" applyAlignment="1">
      <alignment horizontal="center" vertical="center" wrapText="1"/>
    </xf>
    <xf numFmtId="0" fontId="7" fillId="8" borderId="59" xfId="0" applyFont="1" applyFill="1" applyBorder="1" applyAlignment="1">
      <alignment horizontal="center" vertical="center" wrapText="1"/>
    </xf>
    <xf numFmtId="0" fontId="13" fillId="10" borderId="2" xfId="0" applyFont="1" applyFill="1" applyBorder="1" applyAlignment="1">
      <alignment horizontal="center"/>
    </xf>
    <xf numFmtId="0" fontId="7" fillId="10" borderId="2" xfId="0" applyFont="1" applyFill="1" applyBorder="1" applyAlignment="1">
      <alignment horizontal="center"/>
    </xf>
    <xf numFmtId="0" fontId="38" fillId="4" borderId="10" xfId="0" applyFont="1" applyFill="1" applyBorder="1" applyAlignment="1"/>
    <xf numFmtId="0" fontId="6" fillId="4" borderId="0" xfId="0" applyFont="1" applyFill="1" applyBorder="1" applyAlignment="1"/>
    <xf numFmtId="0" fontId="38" fillId="4" borderId="8" xfId="0" applyFont="1" applyFill="1" applyBorder="1" applyAlignment="1"/>
    <xf numFmtId="0" fontId="7" fillId="4" borderId="2" xfId="0" applyFont="1" applyFill="1" applyBorder="1" applyAlignment="1">
      <alignment horizontal="center" wrapText="1"/>
    </xf>
    <xf numFmtId="0" fontId="7" fillId="4" borderId="0" xfId="0" applyFont="1" applyFill="1" applyBorder="1" applyAlignment="1">
      <alignment horizontal="center" wrapText="1"/>
    </xf>
    <xf numFmtId="0" fontId="7" fillId="10" borderId="10" xfId="0" applyFont="1" applyFill="1" applyBorder="1" applyAlignment="1">
      <alignment horizontal="left"/>
    </xf>
    <xf numFmtId="0" fontId="6" fillId="10" borderId="0" xfId="0" applyFont="1" applyFill="1" applyBorder="1"/>
    <xf numFmtId="0" fontId="10" fillId="10" borderId="8" xfId="0" applyFont="1" applyFill="1" applyBorder="1" applyAlignment="1">
      <alignment vertical="center"/>
    </xf>
    <xf numFmtId="0" fontId="6" fillId="18" borderId="10" xfId="0" applyFont="1" applyFill="1" applyBorder="1"/>
    <xf numFmtId="0" fontId="6" fillId="18" borderId="0" xfId="0" applyFont="1" applyFill="1" applyBorder="1"/>
    <xf numFmtId="10" fontId="6" fillId="18" borderId="8" xfId="0" applyNumberFormat="1" applyFont="1" applyFill="1" applyBorder="1"/>
    <xf numFmtId="0" fontId="7" fillId="10" borderId="10" xfId="0" applyFont="1" applyFill="1" applyBorder="1"/>
    <xf numFmtId="0" fontId="6" fillId="10" borderId="8" xfId="0" applyFont="1" applyFill="1" applyBorder="1"/>
    <xf numFmtId="4" fontId="6" fillId="18" borderId="8" xfId="0" applyNumberFormat="1" applyFont="1" applyFill="1" applyBorder="1"/>
    <xf numFmtId="0" fontId="6" fillId="18" borderId="3" xfId="0" applyFont="1" applyFill="1" applyBorder="1"/>
    <xf numFmtId="0" fontId="6" fillId="18" borderId="1" xfId="0" applyFont="1" applyFill="1" applyBorder="1"/>
    <xf numFmtId="4" fontId="6" fillId="18" borderId="9" xfId="0" applyNumberFormat="1" applyFont="1" applyFill="1" applyBorder="1"/>
    <xf numFmtId="0" fontId="38" fillId="10" borderId="6" xfId="0" applyFont="1" applyFill="1" applyBorder="1" applyAlignment="1">
      <alignment horizontal="left"/>
    </xf>
    <xf numFmtId="0" fontId="6" fillId="10" borderId="2" xfId="0" applyFont="1" applyFill="1" applyBorder="1"/>
    <xf numFmtId="0" fontId="10" fillId="10" borderId="7" xfId="0" applyFont="1" applyFill="1" applyBorder="1" applyAlignment="1">
      <alignment vertical="center"/>
    </xf>
    <xf numFmtId="0" fontId="38" fillId="10" borderId="2" xfId="0" applyFont="1" applyFill="1" applyBorder="1" applyAlignment="1">
      <alignment horizontal="left"/>
    </xf>
    <xf numFmtId="0" fontId="38" fillId="10" borderId="7" xfId="0" applyFont="1" applyFill="1" applyBorder="1" applyAlignment="1">
      <alignment horizontal="left"/>
    </xf>
    <xf numFmtId="0" fontId="6" fillId="4" borderId="3" xfId="0" applyFont="1" applyFill="1" applyBorder="1"/>
    <xf numFmtId="0" fontId="6" fillId="18" borderId="1" xfId="0" applyFont="1" applyFill="1" applyBorder="1" applyAlignment="1">
      <alignment wrapText="1"/>
    </xf>
    <xf numFmtId="4" fontId="6" fillId="18" borderId="9" xfId="0" applyNumberFormat="1" applyFont="1" applyFill="1" applyBorder="1" applyAlignment="1">
      <alignment horizontal="center" vertical="center"/>
    </xf>
    <xf numFmtId="9" fontId="6" fillId="5" borderId="89" xfId="0" applyNumberFormat="1" applyFont="1" applyFill="1" applyBorder="1" applyAlignment="1">
      <alignment horizontal="center" vertical="center"/>
    </xf>
    <xf numFmtId="0" fontId="6" fillId="4" borderId="0" xfId="0" applyFont="1" applyFill="1" applyBorder="1" applyAlignment="1">
      <alignment horizontal="left" vertical="center"/>
    </xf>
    <xf numFmtId="9" fontId="9" fillId="5" borderId="21" xfId="0" applyNumberFormat="1" applyFont="1" applyFill="1" applyBorder="1" applyAlignment="1">
      <alignment horizontal="center" vertical="center"/>
    </xf>
    <xf numFmtId="0" fontId="9" fillId="4" borderId="4" xfId="0" applyFont="1" applyFill="1" applyBorder="1"/>
    <xf numFmtId="9" fontId="9" fillId="5" borderId="61" xfId="0" applyNumberFormat="1" applyFont="1" applyFill="1" applyBorder="1" applyAlignment="1">
      <alignment horizontal="center" vertical="center"/>
    </xf>
    <xf numFmtId="9" fontId="9" fillId="7" borderId="46" xfId="3" applyFont="1" applyFill="1" applyBorder="1" applyAlignment="1">
      <alignment horizontal="center" vertical="center"/>
    </xf>
    <xf numFmtId="9" fontId="9" fillId="7" borderId="26" xfId="3" applyFont="1" applyFill="1" applyBorder="1" applyAlignment="1">
      <alignment horizontal="center" vertical="center"/>
    </xf>
    <xf numFmtId="167" fontId="9" fillId="7" borderId="47" xfId="0" applyNumberFormat="1" applyFont="1" applyFill="1" applyBorder="1" applyAlignment="1">
      <alignment horizontal="center" vertical="center"/>
    </xf>
    <xf numFmtId="167" fontId="9" fillId="7" borderId="48" xfId="0" applyNumberFormat="1" applyFont="1" applyFill="1" applyBorder="1" applyAlignment="1">
      <alignment horizontal="center" vertical="center"/>
    </xf>
    <xf numFmtId="175" fontId="19" fillId="4" borderId="0" xfId="0" applyNumberFormat="1" applyFont="1" applyFill="1"/>
    <xf numFmtId="4" fontId="6" fillId="4" borderId="0" xfId="0" applyNumberFormat="1" applyFont="1" applyFill="1"/>
    <xf numFmtId="0" fontId="39" fillId="4" borderId="0" xfId="0" applyFont="1" applyFill="1"/>
    <xf numFmtId="0" fontId="7" fillId="6" borderId="36" xfId="0" applyFont="1" applyFill="1" applyBorder="1" applyAlignment="1">
      <alignment horizontal="center" vertical="center" wrapText="1"/>
    </xf>
    <xf numFmtId="0" fontId="7" fillId="0" borderId="20" xfId="0" applyFont="1" applyFill="1" applyBorder="1" applyAlignment="1">
      <alignment horizontal="center" vertical="center" wrapText="1"/>
    </xf>
    <xf numFmtId="0" fontId="6" fillId="0" borderId="4" xfId="0" applyFont="1" applyFill="1" applyBorder="1" applyAlignment="1">
      <alignment horizontal="center" vertical="center"/>
    </xf>
    <xf numFmtId="0" fontId="4" fillId="9" borderId="77" xfId="2" applyFill="1" applyBorder="1" applyAlignment="1">
      <alignment horizontal="center"/>
    </xf>
    <xf numFmtId="0" fontId="4" fillId="9" borderId="1" xfId="2" applyFill="1" applyBorder="1" applyAlignment="1">
      <alignment horizontal="center"/>
    </xf>
    <xf numFmtId="0" fontId="4" fillId="9" borderId="78" xfId="2" applyFill="1" applyBorder="1" applyAlignment="1">
      <alignment horizontal="center"/>
    </xf>
    <xf numFmtId="170" fontId="34" fillId="0" borderId="0" xfId="6" applyNumberFormat="1" applyFill="1"/>
    <xf numFmtId="9" fontId="34" fillId="0" borderId="0" xfId="6" applyNumberFormat="1" applyFill="1"/>
    <xf numFmtId="4" fontId="34" fillId="0" borderId="0" xfId="6" applyNumberFormat="1" applyFill="1"/>
    <xf numFmtId="9" fontId="34" fillId="0" borderId="0" xfId="6" applyNumberFormat="1"/>
    <xf numFmtId="0" fontId="34" fillId="0" borderId="0" xfId="6" applyFont="1" applyFill="1"/>
    <xf numFmtId="0" fontId="34" fillId="0" borderId="0" xfId="6" applyNumberFormat="1" applyFill="1"/>
    <xf numFmtId="0" fontId="42" fillId="0" borderId="0" xfId="6" applyFont="1"/>
    <xf numFmtId="0" fontId="34" fillId="0" borderId="0" xfId="6" quotePrefix="1"/>
    <xf numFmtId="10" fontId="34" fillId="0" borderId="0" xfId="6" applyNumberFormat="1"/>
    <xf numFmtId="10" fontId="42" fillId="0" borderId="0" xfId="6" applyNumberFormat="1" applyFont="1"/>
    <xf numFmtId="0" fontId="34" fillId="0" borderId="0" xfId="6" applyAlignment="1"/>
    <xf numFmtId="0" fontId="44" fillId="0" borderId="0" xfId="6" applyFont="1"/>
    <xf numFmtId="9" fontId="45" fillId="0" borderId="0" xfId="6" applyNumberFormat="1" applyFont="1" applyFill="1"/>
    <xf numFmtId="170" fontId="45" fillId="0" borderId="0" xfId="6" applyNumberFormat="1" applyFont="1" applyFill="1"/>
    <xf numFmtId="170" fontId="0" fillId="0" borderId="0" xfId="0" applyNumberFormat="1" applyFont="1" applyFill="1"/>
    <xf numFmtId="164" fontId="6" fillId="4" borderId="0" xfId="0" applyNumberFormat="1" applyFont="1" applyFill="1"/>
    <xf numFmtId="9" fontId="6" fillId="5" borderId="7" xfId="0" applyNumberFormat="1" applyFont="1" applyFill="1" applyBorder="1" applyAlignment="1">
      <alignment horizontal="center" vertical="center"/>
    </xf>
    <xf numFmtId="0" fontId="6" fillId="4" borderId="0" xfId="0" applyNumberFormat="1" applyFont="1" applyFill="1"/>
    <xf numFmtId="0" fontId="7" fillId="4" borderId="0" xfId="0" applyFont="1" applyFill="1" applyBorder="1" applyAlignment="1">
      <alignment horizontal="right" vertical="center" wrapText="1"/>
    </xf>
    <xf numFmtId="0" fontId="7" fillId="4" borderId="1" xfId="0" applyFont="1" applyFill="1" applyBorder="1" applyAlignment="1">
      <alignment horizontal="right" vertical="center" wrapText="1"/>
    </xf>
    <xf numFmtId="0" fontId="6" fillId="4" borderId="2" xfId="0" applyFont="1" applyFill="1" applyBorder="1" applyAlignment="1"/>
    <xf numFmtId="4" fontId="0" fillId="0" borderId="0" xfId="0" applyNumberFormat="1"/>
    <xf numFmtId="164" fontId="3" fillId="0" borderId="0" xfId="3" applyNumberFormat="1" applyFont="1" applyAlignment="1">
      <alignment horizontal="right"/>
    </xf>
    <xf numFmtId="179" fontId="3" fillId="0" borderId="0" xfId="3" applyNumberFormat="1" applyFont="1" applyAlignment="1">
      <alignment horizontal="right"/>
    </xf>
    <xf numFmtId="168" fontId="3" fillId="0" borderId="0" xfId="3" applyNumberFormat="1" applyFont="1" applyAlignment="1">
      <alignment horizontal="right"/>
    </xf>
    <xf numFmtId="0" fontId="7" fillId="4" borderId="2" xfId="0" applyFont="1" applyFill="1" applyBorder="1" applyAlignment="1">
      <alignment horizontal="center" vertical="center" wrapText="1"/>
    </xf>
    <xf numFmtId="0" fontId="7" fillId="10" borderId="6" xfId="0" applyFont="1" applyFill="1" applyBorder="1" applyAlignment="1">
      <alignment horizontal="center" vertical="center" wrapText="1"/>
    </xf>
    <xf numFmtId="0" fontId="7" fillId="10" borderId="10" xfId="0" applyFont="1" applyFill="1" applyBorder="1" applyAlignment="1">
      <alignment horizontal="center" vertical="center" wrapText="1"/>
    </xf>
    <xf numFmtId="0" fontId="7" fillId="2" borderId="2" xfId="0" applyFont="1" applyFill="1" applyBorder="1" applyAlignment="1">
      <alignment horizontal="center" vertical="center" wrapText="1"/>
    </xf>
    <xf numFmtId="2" fontId="6" fillId="11" borderId="0" xfId="0" applyNumberFormat="1" applyFont="1" applyFill="1" applyBorder="1" applyAlignment="1">
      <alignment horizontal="center" vertical="center"/>
    </xf>
    <xf numFmtId="0" fontId="7" fillId="2" borderId="0" xfId="0" applyFont="1" applyFill="1" applyBorder="1" applyAlignment="1">
      <alignment horizontal="center" vertical="center" wrapText="1"/>
    </xf>
    <xf numFmtId="169" fontId="6" fillId="11" borderId="0" xfId="0" applyNumberFormat="1" applyFont="1" applyFill="1" applyBorder="1" applyAlignment="1">
      <alignment horizontal="center"/>
    </xf>
    <xf numFmtId="0" fontId="7" fillId="10" borderId="3" xfId="0" applyFont="1" applyFill="1" applyBorder="1" applyAlignment="1">
      <alignment horizontal="center" vertical="center" wrapText="1"/>
    </xf>
    <xf numFmtId="169" fontId="6" fillId="11" borderId="0" xfId="0" applyNumberFormat="1" applyFont="1" applyFill="1" applyBorder="1" applyAlignment="1">
      <alignment horizontal="center" vertical="center"/>
    </xf>
    <xf numFmtId="0" fontId="11" fillId="4" borderId="0" xfId="2" applyFont="1" applyFill="1" applyBorder="1" applyAlignment="1">
      <alignment horizontal="left" vertical="top" wrapText="1"/>
    </xf>
    <xf numFmtId="0" fontId="7" fillId="4" borderId="7" xfId="0" applyFont="1" applyFill="1" applyBorder="1" applyAlignment="1">
      <alignment horizontal="center" vertical="center" wrapText="1"/>
    </xf>
    <xf numFmtId="171" fontId="18" fillId="16" borderId="0" xfId="0" applyNumberFormat="1" applyFont="1" applyFill="1" applyBorder="1" applyAlignment="1">
      <alignment horizontal="right"/>
    </xf>
    <xf numFmtId="171" fontId="18" fillId="16" borderId="1" xfId="0" applyNumberFormat="1" applyFont="1" applyFill="1" applyBorder="1" applyAlignment="1">
      <alignment horizontal="right"/>
    </xf>
    <xf numFmtId="4" fontId="0" fillId="0" borderId="0" xfId="0" applyNumberFormat="1" applyFont="1"/>
    <xf numFmtId="0" fontId="12" fillId="0" borderId="0" xfId="0" applyFont="1" applyFill="1" applyBorder="1"/>
    <xf numFmtId="0" fontId="6" fillId="22" borderId="0" xfId="0" applyFont="1" applyFill="1"/>
    <xf numFmtId="167" fontId="6" fillId="22" borderId="61" xfId="0" applyNumberFormat="1" applyFont="1" applyFill="1" applyBorder="1" applyAlignment="1">
      <alignment horizontal="center" vertical="center"/>
    </xf>
    <xf numFmtId="9" fontId="6" fillId="22" borderId="21" xfId="0" applyNumberFormat="1" applyFont="1" applyFill="1" applyBorder="1" applyAlignment="1">
      <alignment horizontal="center" vertical="center"/>
    </xf>
    <xf numFmtId="168" fontId="6" fillId="22" borderId="53" xfId="0" applyNumberFormat="1" applyFont="1" applyFill="1" applyBorder="1" applyAlignment="1">
      <alignment horizontal="center" vertical="center"/>
    </xf>
    <xf numFmtId="169" fontId="6" fillId="23" borderId="0" xfId="0" applyNumberFormat="1" applyFont="1" applyFill="1" applyBorder="1" applyAlignment="1">
      <alignment horizontal="center"/>
    </xf>
    <xf numFmtId="10" fontId="8" fillId="5" borderId="14" xfId="0" applyNumberFormat="1" applyFont="1" applyFill="1" applyBorder="1" applyAlignment="1">
      <alignment horizontal="center" vertical="center"/>
    </xf>
    <xf numFmtId="9" fontId="8" fillId="5" borderId="61" xfId="0" applyNumberFormat="1" applyFont="1" applyFill="1" applyBorder="1" applyAlignment="1">
      <alignment horizontal="center" vertical="center"/>
    </xf>
    <xf numFmtId="9" fontId="8" fillId="5" borderId="21" xfId="0" applyNumberFormat="1" applyFont="1" applyFill="1" applyBorder="1" applyAlignment="1">
      <alignment horizontal="center" vertical="center"/>
    </xf>
    <xf numFmtId="168" fontId="8" fillId="7" borderId="55" xfId="0" applyNumberFormat="1" applyFont="1" applyFill="1" applyBorder="1" applyAlignment="1">
      <alignment horizontal="center" vertical="center"/>
    </xf>
    <xf numFmtId="10" fontId="6" fillId="23" borderId="8" xfId="0" applyNumberFormat="1" applyFont="1" applyFill="1" applyBorder="1"/>
    <xf numFmtId="9" fontId="8" fillId="5" borderId="14" xfId="0" applyNumberFormat="1" applyFont="1" applyFill="1" applyBorder="1" applyAlignment="1">
      <alignment horizontal="center" vertical="center"/>
    </xf>
    <xf numFmtId="9" fontId="8" fillId="7" borderId="53" xfId="3" applyFont="1" applyFill="1" applyBorder="1" applyAlignment="1">
      <alignment horizontal="center" vertical="center"/>
    </xf>
    <xf numFmtId="9" fontId="6" fillId="24" borderId="21" xfId="0" applyNumberFormat="1" applyFont="1" applyFill="1" applyBorder="1" applyAlignment="1">
      <alignment horizontal="center" vertical="center"/>
    </xf>
    <xf numFmtId="0" fontId="6" fillId="22" borderId="21" xfId="0" applyNumberFormat="1" applyFont="1" applyFill="1" applyBorder="1" applyAlignment="1">
      <alignment horizontal="center" vertical="center"/>
    </xf>
    <xf numFmtId="0" fontId="0" fillId="0" borderId="83" xfId="0" applyBorder="1" applyAlignment="1"/>
    <xf numFmtId="0" fontId="8" fillId="5" borderId="21" xfId="0" applyNumberFormat="1" applyFont="1" applyFill="1" applyBorder="1" applyAlignment="1">
      <alignment horizontal="center" vertical="center"/>
    </xf>
    <xf numFmtId="9" fontId="8" fillId="7" borderId="37" xfId="0" applyNumberFormat="1" applyFont="1" applyFill="1" applyBorder="1" applyAlignment="1">
      <alignment horizontal="center" vertical="center"/>
    </xf>
    <xf numFmtId="9" fontId="8" fillId="7" borderId="46" xfId="3" applyFont="1" applyFill="1" applyBorder="1" applyAlignment="1">
      <alignment horizontal="center" vertical="center"/>
    </xf>
    <xf numFmtId="9" fontId="8" fillId="7" borderId="26" xfId="3" applyFont="1" applyFill="1" applyBorder="1" applyAlignment="1">
      <alignment horizontal="center" vertical="center"/>
    </xf>
    <xf numFmtId="167" fontId="8" fillId="7" borderId="47" xfId="0" applyNumberFormat="1" applyFont="1" applyFill="1" applyBorder="1" applyAlignment="1">
      <alignment horizontal="center" vertical="center"/>
    </xf>
    <xf numFmtId="167" fontId="8" fillId="7" borderId="48" xfId="0" applyNumberFormat="1" applyFont="1" applyFill="1" applyBorder="1" applyAlignment="1">
      <alignment horizontal="center" vertical="center"/>
    </xf>
    <xf numFmtId="9" fontId="8" fillId="5" borderId="63" xfId="0" applyNumberFormat="1" applyFont="1" applyFill="1" applyBorder="1" applyAlignment="1">
      <alignment horizontal="center" vertical="center"/>
    </xf>
    <xf numFmtId="0" fontId="7" fillId="2" borderId="2" xfId="0" applyFont="1" applyFill="1" applyBorder="1" applyAlignment="1">
      <alignment horizontal="center" vertical="center" wrapText="1"/>
    </xf>
    <xf numFmtId="169" fontId="6" fillId="11" borderId="0" xfId="0" applyNumberFormat="1" applyFont="1" applyFill="1" applyBorder="1" applyAlignment="1">
      <alignment horizontal="center"/>
    </xf>
    <xf numFmtId="0" fontId="7" fillId="10" borderId="10" xfId="0" applyFont="1" applyFill="1" applyBorder="1" applyAlignment="1">
      <alignment horizontal="center" vertical="center" wrapText="1"/>
    </xf>
    <xf numFmtId="0" fontId="7" fillId="2" borderId="0" xfId="0" applyFont="1" applyFill="1" applyBorder="1" applyAlignment="1">
      <alignment horizontal="center" vertical="center" wrapText="1"/>
    </xf>
    <xf numFmtId="0" fontId="7" fillId="6" borderId="36" xfId="0" applyFont="1" applyFill="1" applyBorder="1" applyAlignment="1">
      <alignment horizontal="center" vertical="center" wrapText="1"/>
    </xf>
    <xf numFmtId="2" fontId="6" fillId="11" borderId="0" xfId="0" applyNumberFormat="1" applyFont="1" applyFill="1" applyBorder="1" applyAlignment="1">
      <alignment horizontal="center" vertical="center"/>
    </xf>
    <xf numFmtId="0" fontId="7" fillId="10" borderId="6" xfId="0" applyFont="1" applyFill="1" applyBorder="1" applyAlignment="1">
      <alignment horizontal="center" vertical="center" wrapText="1"/>
    </xf>
    <xf numFmtId="167" fontId="6" fillId="12" borderId="30" xfId="1" applyNumberFormat="1" applyFont="1" applyFill="1" applyBorder="1" applyAlignment="1">
      <alignment horizontal="center" vertical="center"/>
    </xf>
    <xf numFmtId="0" fontId="7" fillId="4" borderId="2" xfId="0" applyFont="1" applyFill="1" applyBorder="1" applyAlignment="1">
      <alignment horizontal="center" vertical="center" wrapText="1"/>
    </xf>
    <xf numFmtId="0" fontId="7" fillId="8" borderId="58" xfId="0" applyFont="1" applyFill="1" applyBorder="1" applyAlignment="1">
      <alignment horizontal="center" vertical="center" wrapText="1"/>
    </xf>
    <xf numFmtId="0" fontId="7" fillId="8" borderId="59" xfId="0" applyFont="1" applyFill="1" applyBorder="1" applyAlignment="1">
      <alignment horizontal="center" vertical="center" wrapText="1"/>
    </xf>
    <xf numFmtId="169" fontId="6" fillId="11" borderId="0" xfId="0" applyNumberFormat="1" applyFont="1" applyFill="1" applyBorder="1" applyAlignment="1">
      <alignment horizontal="center" vertical="center"/>
    </xf>
    <xf numFmtId="0" fontId="7" fillId="10" borderId="3" xfId="0" applyFont="1" applyFill="1" applyBorder="1" applyAlignment="1">
      <alignment horizontal="center" vertical="center" wrapText="1"/>
    </xf>
    <xf numFmtId="0" fontId="7" fillId="8" borderId="15" xfId="0" applyFont="1" applyFill="1" applyBorder="1" applyAlignment="1">
      <alignment horizontal="center" vertical="center" wrapText="1"/>
    </xf>
    <xf numFmtId="0" fontId="12" fillId="15" borderId="72" xfId="0" applyFont="1" applyFill="1" applyBorder="1" applyAlignment="1">
      <alignment horizontal="center" vertical="center" wrapText="1"/>
    </xf>
    <xf numFmtId="0" fontId="4" fillId="0" borderId="0" xfId="2" applyFill="1"/>
    <xf numFmtId="0" fontId="0" fillId="0" borderId="0" xfId="0" applyFont="1" applyFill="1" applyAlignment="1">
      <alignment horizontal="left" vertical="center"/>
    </xf>
    <xf numFmtId="0" fontId="31" fillId="0" borderId="0" xfId="0" applyFont="1" applyFill="1"/>
    <xf numFmtId="0" fontId="29" fillId="0" borderId="0" xfId="2" applyFont="1" applyFill="1"/>
    <xf numFmtId="10" fontId="0" fillId="0" borderId="0" xfId="3" applyNumberFormat="1" applyFont="1" applyFill="1"/>
    <xf numFmtId="0" fontId="25" fillId="0" borderId="0" xfId="0" applyFont="1" applyFill="1" applyAlignment="1">
      <alignment horizontal="left" wrapText="1"/>
    </xf>
    <xf numFmtId="10" fontId="0" fillId="0" borderId="0" xfId="0" quotePrefix="1" applyNumberFormat="1" applyFont="1" applyFill="1"/>
    <xf numFmtId="0" fontId="25" fillId="0" borderId="0" xfId="0" applyFont="1" applyFill="1" applyAlignment="1">
      <alignment wrapText="1"/>
    </xf>
    <xf numFmtId="4" fontId="0" fillId="0" borderId="0" xfId="0" applyNumberFormat="1" applyFont="1" applyFill="1"/>
    <xf numFmtId="0" fontId="36" fillId="0" borderId="0" xfId="0" applyFont="1" applyFill="1" applyAlignment="1">
      <alignment wrapText="1"/>
    </xf>
    <xf numFmtId="0" fontId="28" fillId="0" borderId="0" xfId="2" applyFont="1" applyFill="1" applyAlignment="1">
      <alignment vertical="center"/>
    </xf>
    <xf numFmtId="0" fontId="28" fillId="0" borderId="0" xfId="2" applyFont="1" applyFill="1"/>
    <xf numFmtId="0" fontId="4" fillId="0" borderId="0" xfId="2" applyFill="1" applyAlignment="1">
      <alignment vertical="center"/>
    </xf>
    <xf numFmtId="0" fontId="0" fillId="0" borderId="0" xfId="0" applyFont="1" applyFill="1" applyAlignment="1">
      <alignment vertical="top"/>
    </xf>
    <xf numFmtId="0" fontId="27" fillId="0" borderId="0" xfId="0" applyFont="1" applyFill="1" applyAlignment="1">
      <alignment wrapText="1"/>
    </xf>
    <xf numFmtId="168" fontId="18" fillId="16" borderId="2" xfId="0" applyNumberFormat="1" applyFont="1" applyFill="1" applyBorder="1" applyAlignment="1">
      <alignment horizontal="right"/>
    </xf>
    <xf numFmtId="168" fontId="18" fillId="16" borderId="0" xfId="0" applyNumberFormat="1" applyFont="1" applyFill="1" applyBorder="1" applyAlignment="1">
      <alignment horizontal="right"/>
    </xf>
    <xf numFmtId="180" fontId="18" fillId="16" borderId="0" xfId="0" applyNumberFormat="1" applyFont="1" applyFill="1" applyBorder="1" applyAlignment="1">
      <alignment horizontal="center"/>
    </xf>
    <xf numFmtId="179" fontId="6" fillId="4" borderId="102" xfId="0" applyNumberFormat="1" applyFont="1" applyFill="1" applyBorder="1" applyAlignment="1">
      <alignment horizontal="center" vertical="center"/>
    </xf>
    <xf numFmtId="179" fontId="6" fillId="4" borderId="108" xfId="0" applyNumberFormat="1" applyFont="1" applyFill="1" applyBorder="1" applyAlignment="1">
      <alignment horizontal="center" vertical="center"/>
    </xf>
    <xf numFmtId="179" fontId="6" fillId="4" borderId="103" xfId="0" applyNumberFormat="1" applyFont="1" applyFill="1" applyBorder="1" applyAlignment="1">
      <alignment horizontal="center" vertical="center"/>
    </xf>
    <xf numFmtId="179" fontId="6" fillId="4" borderId="109" xfId="0" applyNumberFormat="1" applyFont="1" applyFill="1" applyBorder="1" applyAlignment="1">
      <alignment horizontal="center" vertical="center"/>
    </xf>
    <xf numFmtId="179" fontId="6" fillId="17" borderId="0" xfId="0" applyNumberFormat="1" applyFont="1" applyFill="1" applyBorder="1" applyAlignment="1">
      <alignment horizontal="right"/>
    </xf>
    <xf numFmtId="179" fontId="6" fillId="4" borderId="0" xfId="0" applyNumberFormat="1" applyFont="1" applyFill="1" applyBorder="1"/>
    <xf numFmtId="179" fontId="19" fillId="17" borderId="0" xfId="0" applyNumberFormat="1" applyFont="1" applyFill="1" applyBorder="1" applyAlignment="1">
      <alignment horizontal="right"/>
    </xf>
    <xf numFmtId="179" fontId="6" fillId="17" borderId="8" xfId="0" applyNumberFormat="1" applyFont="1" applyFill="1" applyBorder="1" applyAlignment="1">
      <alignment horizontal="right"/>
    </xf>
    <xf numFmtId="179" fontId="6" fillId="4" borderId="0" xfId="0" applyNumberFormat="1" applyFont="1" applyFill="1" applyBorder="1" applyAlignment="1">
      <alignment horizontal="right"/>
    </xf>
    <xf numFmtId="179" fontId="38" fillId="4" borderId="8" xfId="0" applyNumberFormat="1" applyFont="1" applyFill="1" applyBorder="1"/>
    <xf numFmtId="179" fontId="7" fillId="4" borderId="0" xfId="0" applyNumberFormat="1" applyFont="1" applyFill="1" applyBorder="1" applyAlignment="1">
      <alignment horizontal="center" vertical="center"/>
    </xf>
    <xf numFmtId="179" fontId="7" fillId="17" borderId="8" xfId="0" applyNumberFormat="1" applyFont="1" applyFill="1" applyBorder="1" applyAlignment="1">
      <alignment horizontal="center"/>
    </xf>
    <xf numFmtId="180" fontId="6" fillId="0" borderId="9" xfId="0" applyNumberFormat="1" applyFont="1" applyFill="1" applyBorder="1" applyAlignment="1">
      <alignment horizontal="center" vertical="center"/>
    </xf>
    <xf numFmtId="4" fontId="6" fillId="5" borderId="21" xfId="0" applyNumberFormat="1" applyFont="1" applyFill="1" applyBorder="1" applyAlignment="1">
      <alignment horizontal="center" vertical="center"/>
    </xf>
    <xf numFmtId="179" fontId="6" fillId="5" borderId="21" xfId="0" applyNumberFormat="1" applyFont="1" applyFill="1" applyBorder="1" applyAlignment="1">
      <alignment horizontal="center" vertical="center"/>
    </xf>
    <xf numFmtId="9" fontId="8" fillId="5" borderId="53" xfId="0" applyNumberFormat="1" applyFont="1" applyFill="1" applyBorder="1" applyAlignment="1">
      <alignment horizontal="center" vertical="center"/>
    </xf>
    <xf numFmtId="9" fontId="8" fillId="7" borderId="55" xfId="0" applyNumberFormat="1" applyFont="1" applyFill="1" applyBorder="1" applyAlignment="1">
      <alignment horizontal="center" vertical="center"/>
    </xf>
    <xf numFmtId="9" fontId="6" fillId="7" borderId="55" xfId="0" applyNumberFormat="1" applyFont="1" applyFill="1" applyBorder="1" applyAlignment="1">
      <alignment horizontal="center" vertical="center"/>
    </xf>
    <xf numFmtId="179" fontId="0" fillId="0" borderId="0" xfId="3" applyNumberFormat="1" applyFont="1" applyAlignment="1">
      <alignment horizontal="right"/>
    </xf>
    <xf numFmtId="179" fontId="0" fillId="0" borderId="0" xfId="0" applyNumberFormat="1"/>
    <xf numFmtId="9" fontId="45" fillId="0" borderId="0" xfId="11" applyFont="1" applyFill="1"/>
    <xf numFmtId="9" fontId="34" fillId="0" borderId="0" xfId="11" applyFill="1"/>
    <xf numFmtId="0" fontId="45" fillId="0" borderId="0" xfId="6" applyNumberFormat="1" applyFont="1" applyFill="1"/>
    <xf numFmtId="3" fontId="45" fillId="0" borderId="0" xfId="6" applyNumberFormat="1" applyFont="1" applyFill="1"/>
    <xf numFmtId="178" fontId="42" fillId="0" borderId="0" xfId="6" applyNumberFormat="1" applyFont="1" applyFill="1"/>
    <xf numFmtId="178" fontId="42" fillId="0" borderId="0" xfId="6" applyNumberFormat="1" applyFont="1"/>
    <xf numFmtId="0" fontId="0" fillId="0" borderId="0" xfId="0" applyAlignment="1">
      <alignment vertical="top"/>
    </xf>
    <xf numFmtId="0" fontId="4" fillId="0" borderId="0" xfId="2" applyNumberFormat="1" applyFill="1" applyBorder="1" applyAlignment="1" applyProtection="1"/>
    <xf numFmtId="171" fontId="6" fillId="12" borderId="33" xfId="1" applyNumberFormat="1" applyFont="1" applyFill="1" applyBorder="1" applyAlignment="1">
      <alignment horizontal="center" vertical="center"/>
    </xf>
    <xf numFmtId="178" fontId="0" fillId="0" borderId="0" xfId="0" applyNumberFormat="1" applyFont="1" applyFill="1"/>
    <xf numFmtId="178" fontId="34" fillId="0" borderId="0" xfId="6" applyNumberFormat="1" applyFont="1" applyFill="1"/>
    <xf numFmtId="0" fontId="4" fillId="9" borderId="69" xfId="2" applyFill="1" applyBorder="1" applyAlignment="1">
      <alignment horizontal="left" vertical="top" wrapText="1"/>
    </xf>
    <xf numFmtId="0" fontId="51" fillId="4" borderId="0" xfId="0" applyFont="1" applyFill="1" applyBorder="1" applyAlignment="1">
      <alignment horizontal="right" vertical="center"/>
    </xf>
    <xf numFmtId="0" fontId="53" fillId="4" borderId="0" xfId="0" applyFont="1" applyFill="1" applyBorder="1" applyAlignment="1">
      <alignment horizontal="right" vertical="center"/>
    </xf>
    <xf numFmtId="0" fontId="13" fillId="20" borderId="0" xfId="0" applyFont="1" applyFill="1" applyBorder="1" applyAlignment="1">
      <alignment horizontal="center" vertical="center" wrapText="1"/>
    </xf>
    <xf numFmtId="0" fontId="0" fillId="0" borderId="0" xfId="0" applyAlignment="1">
      <alignment horizontal="center" vertical="center"/>
    </xf>
    <xf numFmtId="0" fontId="13" fillId="14" borderId="73" xfId="0" applyFont="1" applyFill="1" applyBorder="1" applyAlignment="1">
      <alignment horizontal="center" vertical="center" wrapText="1"/>
    </xf>
    <xf numFmtId="0" fontId="0" fillId="0" borderId="84" xfId="0" applyBorder="1" applyAlignment="1">
      <alignment horizontal="center" vertical="center" wrapText="1"/>
    </xf>
    <xf numFmtId="0" fontId="13" fillId="14" borderId="82" xfId="0" applyFont="1" applyFill="1" applyBorder="1" applyAlignment="1">
      <alignment horizontal="center" vertical="center" wrapText="1"/>
    </xf>
    <xf numFmtId="0" fontId="0" fillId="0" borderId="82" xfId="0" applyBorder="1" applyAlignment="1">
      <alignment horizontal="center" vertical="center" wrapText="1"/>
    </xf>
    <xf numFmtId="0" fontId="7" fillId="3" borderId="94" xfId="0" applyFont="1" applyFill="1" applyBorder="1" applyAlignment="1">
      <alignment horizontal="center" vertical="center" wrapText="1"/>
    </xf>
    <xf numFmtId="0" fontId="7" fillId="3" borderId="95" xfId="0" applyFont="1" applyFill="1" applyBorder="1" applyAlignment="1">
      <alignment horizontal="center" vertical="center" wrapText="1"/>
    </xf>
    <xf numFmtId="0" fontId="7" fillId="3" borderId="93" xfId="0" applyFont="1" applyFill="1" applyBorder="1" applyAlignment="1">
      <alignment horizontal="center" vertical="center" wrapText="1"/>
    </xf>
    <xf numFmtId="0" fontId="7" fillId="3" borderId="12" xfId="0" applyFont="1" applyFill="1" applyBorder="1" applyAlignment="1">
      <alignment horizontal="center" vertical="center" wrapText="1"/>
    </xf>
    <xf numFmtId="0" fontId="13" fillId="14" borderId="83" xfId="0" applyFont="1" applyFill="1" applyBorder="1" applyAlignment="1">
      <alignment horizontal="center" vertical="center" wrapText="1"/>
    </xf>
    <xf numFmtId="0" fontId="0" fillId="0" borderId="70" xfId="0" applyBorder="1" applyAlignment="1">
      <alignment horizontal="center" vertical="center" wrapText="1"/>
    </xf>
    <xf numFmtId="0" fontId="13" fillId="14" borderId="91" xfId="0" applyFont="1" applyFill="1" applyBorder="1" applyAlignment="1">
      <alignment horizontal="center" vertical="center" wrapText="1"/>
    </xf>
    <xf numFmtId="0" fontId="0" fillId="0" borderId="0" xfId="0" applyBorder="1" applyAlignment="1">
      <alignment horizontal="center" vertical="center" wrapText="1"/>
    </xf>
    <xf numFmtId="0" fontId="0" fillId="0" borderId="92" xfId="0" applyBorder="1" applyAlignment="1"/>
    <xf numFmtId="0" fontId="13" fillId="20" borderId="111" xfId="0" applyFont="1" applyFill="1" applyBorder="1" applyAlignment="1">
      <alignment horizontal="center" vertical="center" wrapText="1"/>
    </xf>
    <xf numFmtId="0" fontId="0" fillId="20" borderId="83" xfId="0" applyFill="1" applyBorder="1" applyAlignment="1">
      <alignment horizontal="center" vertical="center" wrapText="1"/>
    </xf>
    <xf numFmtId="0" fontId="0" fillId="0" borderId="83" xfId="0" applyBorder="1" applyAlignment="1"/>
    <xf numFmtId="0" fontId="7" fillId="3" borderId="96" xfId="0" applyFont="1" applyFill="1" applyBorder="1" applyAlignment="1">
      <alignment horizontal="center" vertical="center" wrapText="1"/>
    </xf>
    <xf numFmtId="0" fontId="0" fillId="0" borderId="97" xfId="0" applyBorder="1" applyAlignment="1">
      <alignment horizontal="center" vertical="center" wrapText="1"/>
    </xf>
    <xf numFmtId="0" fontId="4" fillId="0" borderId="0" xfId="2" applyFill="1" applyAlignment="1">
      <alignment horizontal="left" vertical="center"/>
    </xf>
    <xf numFmtId="0" fontId="0" fillId="0" borderId="0" xfId="0" applyAlignment="1">
      <alignment horizontal="left" vertical="center"/>
    </xf>
    <xf numFmtId="0" fontId="4" fillId="0" borderId="0" xfId="2" applyFill="1" applyAlignment="1">
      <alignment horizontal="left" vertical="center" wrapText="1"/>
    </xf>
    <xf numFmtId="0" fontId="5" fillId="0" borderId="0" xfId="0" applyFont="1" applyFill="1" applyAlignment="1">
      <alignment horizontal="center"/>
    </xf>
    <xf numFmtId="0" fontId="24" fillId="0" borderId="0" xfId="0" applyFont="1" applyAlignment="1">
      <alignment horizontal="left"/>
    </xf>
    <xf numFmtId="0" fontId="0" fillId="0" borderId="0" xfId="0" applyFont="1" applyFill="1" applyAlignment="1">
      <alignment vertical="top" wrapText="1"/>
    </xf>
    <xf numFmtId="0" fontId="0" fillId="0" borderId="0" xfId="0" applyFill="1" applyAlignment="1">
      <alignment vertical="top"/>
    </xf>
    <xf numFmtId="0" fontId="0" fillId="0" borderId="0" xfId="0" applyFont="1" applyFill="1" applyAlignment="1">
      <alignment wrapText="1"/>
    </xf>
    <xf numFmtId="0" fontId="0" fillId="0" borderId="0" xfId="0" applyFill="1" applyAlignment="1">
      <alignment wrapText="1"/>
    </xf>
    <xf numFmtId="0" fontId="20" fillId="4" borderId="6" xfId="0" applyFont="1" applyFill="1" applyBorder="1" applyAlignment="1">
      <alignment horizontal="center"/>
    </xf>
    <xf numFmtId="0" fontId="20" fillId="4" borderId="7" xfId="0" applyFont="1" applyFill="1" applyBorder="1" applyAlignment="1">
      <alignment horizontal="center"/>
    </xf>
    <xf numFmtId="0" fontId="20" fillId="4" borderId="10" xfId="0" applyFont="1" applyFill="1" applyBorder="1" applyAlignment="1">
      <alignment horizontal="center"/>
    </xf>
    <xf numFmtId="0" fontId="20" fillId="4" borderId="8" xfId="0" applyFont="1" applyFill="1" applyBorder="1" applyAlignment="1">
      <alignment horizontal="center"/>
    </xf>
    <xf numFmtId="0" fontId="16" fillId="4" borderId="6" xfId="0" applyFont="1" applyFill="1" applyBorder="1" applyAlignment="1">
      <alignment horizontal="center" vertical="center" wrapText="1"/>
    </xf>
    <xf numFmtId="0" fontId="0" fillId="4" borderId="2" xfId="0" applyFill="1" applyBorder="1" applyAlignment="1"/>
    <xf numFmtId="0" fontId="0" fillId="4" borderId="7" xfId="0" applyFill="1" applyBorder="1" applyAlignment="1"/>
    <xf numFmtId="0" fontId="0" fillId="4" borderId="10" xfId="0" applyFill="1" applyBorder="1" applyAlignment="1"/>
    <xf numFmtId="0" fontId="0" fillId="4" borderId="0" xfId="0" applyFill="1" applyBorder="1" applyAlignment="1"/>
    <xf numFmtId="0" fontId="0" fillId="4" borderId="8" xfId="0" applyFill="1" applyBorder="1" applyAlignment="1"/>
    <xf numFmtId="0" fontId="12" fillId="4" borderId="0" xfId="0" applyFont="1" applyFill="1" applyAlignment="1">
      <alignment horizontal="left" vertical="top" wrapText="1"/>
    </xf>
    <xf numFmtId="0" fontId="12" fillId="4" borderId="1" xfId="0" applyFont="1" applyFill="1" applyBorder="1" applyAlignment="1">
      <alignment horizontal="left" vertical="top" wrapText="1"/>
    </xf>
    <xf numFmtId="0" fontId="20" fillId="4" borderId="6" xfId="0" applyFont="1" applyFill="1" applyBorder="1" applyAlignment="1">
      <alignment horizontal="center" vertical="center"/>
    </xf>
    <xf numFmtId="0" fontId="20" fillId="4" borderId="7" xfId="0" applyFont="1" applyFill="1" applyBorder="1" applyAlignment="1">
      <alignment horizontal="center" vertical="center"/>
    </xf>
    <xf numFmtId="0" fontId="20" fillId="4" borderId="3" xfId="0" applyFont="1" applyFill="1" applyBorder="1" applyAlignment="1">
      <alignment horizontal="center" vertical="center"/>
    </xf>
    <xf numFmtId="0" fontId="20" fillId="4" borderId="9" xfId="0" applyFont="1" applyFill="1" applyBorder="1" applyAlignment="1">
      <alignment horizontal="center" vertical="center"/>
    </xf>
    <xf numFmtId="0" fontId="7" fillId="2" borderId="2" xfId="0" applyFont="1" applyFill="1" applyBorder="1" applyAlignment="1">
      <alignment horizontal="center" vertical="center" wrapText="1"/>
    </xf>
    <xf numFmtId="0" fontId="7" fillId="2" borderId="7" xfId="0" applyFont="1" applyFill="1" applyBorder="1" applyAlignment="1">
      <alignment horizontal="center" vertical="center" wrapText="1"/>
    </xf>
    <xf numFmtId="181" fontId="6" fillId="11" borderId="0" xfId="3" applyNumberFormat="1" applyFont="1" applyFill="1" applyBorder="1" applyAlignment="1">
      <alignment horizontal="center" vertical="center"/>
    </xf>
    <xf numFmtId="169" fontId="6" fillId="11" borderId="0" xfId="0" applyNumberFormat="1" applyFont="1" applyFill="1" applyBorder="1" applyAlignment="1">
      <alignment horizontal="center"/>
    </xf>
    <xf numFmtId="0" fontId="0" fillId="0" borderId="8" xfId="0" applyBorder="1" applyAlignment="1">
      <alignment horizontal="center"/>
    </xf>
    <xf numFmtId="4" fontId="6" fillId="18" borderId="8" xfId="0" applyNumberFormat="1" applyFont="1" applyFill="1" applyBorder="1" applyAlignment="1">
      <alignment horizontal="center" vertical="center"/>
    </xf>
    <xf numFmtId="0" fontId="0" fillId="0" borderId="8" xfId="0" applyBorder="1" applyAlignment="1">
      <alignment horizontal="center" vertical="center"/>
    </xf>
    <xf numFmtId="0" fontId="15" fillId="13" borderId="10" xfId="0" applyFont="1" applyFill="1" applyBorder="1" applyAlignment="1">
      <alignment horizontal="center" vertical="center" wrapText="1"/>
    </xf>
    <xf numFmtId="0" fontId="7" fillId="10" borderId="10" xfId="0" applyFont="1" applyFill="1" applyBorder="1" applyAlignment="1">
      <alignment horizontal="center" vertical="center" wrapText="1"/>
    </xf>
    <xf numFmtId="0" fontId="7" fillId="2" borderId="0" xfId="0" applyFont="1" applyFill="1" applyBorder="1" applyAlignment="1">
      <alignment horizontal="center" vertical="center" wrapText="1"/>
    </xf>
    <xf numFmtId="0" fontId="52" fillId="2" borderId="0" xfId="0" applyFont="1" applyFill="1" applyBorder="1" applyAlignment="1">
      <alignment horizontal="center" vertical="center" wrapText="1"/>
    </xf>
    <xf numFmtId="0" fontId="52" fillId="2" borderId="8" xfId="0" applyFont="1" applyFill="1" applyBorder="1" applyAlignment="1">
      <alignment horizontal="center" vertical="center" wrapText="1"/>
    </xf>
    <xf numFmtId="0" fontId="13" fillId="10" borderId="44" xfId="0" applyFont="1" applyFill="1" applyBorder="1" applyAlignment="1">
      <alignment horizontal="center"/>
    </xf>
    <xf numFmtId="10" fontId="6" fillId="11" borderId="0" xfId="3" applyNumberFormat="1" applyFont="1" applyFill="1" applyBorder="1" applyAlignment="1">
      <alignment horizontal="center" vertical="center"/>
    </xf>
    <xf numFmtId="164" fontId="50" fillId="11" borderId="0" xfId="0" applyNumberFormat="1" applyFont="1" applyFill="1" applyBorder="1" applyAlignment="1">
      <alignment horizontal="center" vertical="center"/>
    </xf>
    <xf numFmtId="164" fontId="50" fillId="11" borderId="8" xfId="0" applyNumberFormat="1" applyFont="1" applyFill="1" applyBorder="1" applyAlignment="1">
      <alignment horizontal="center" vertical="center"/>
    </xf>
    <xf numFmtId="0" fontId="7" fillId="3" borderId="88" xfId="0" applyFont="1" applyFill="1" applyBorder="1" applyAlignment="1">
      <alignment horizontal="center" vertical="center" wrapText="1"/>
    </xf>
    <xf numFmtId="0" fontId="0" fillId="0" borderId="86" xfId="0" applyBorder="1" applyAlignment="1">
      <alignment horizontal="center" vertical="center" wrapText="1"/>
    </xf>
    <xf numFmtId="0" fontId="13" fillId="10" borderId="11" xfId="0" applyFont="1" applyFill="1" applyBorder="1" applyAlignment="1">
      <alignment horizontal="center"/>
    </xf>
    <xf numFmtId="0" fontId="13" fillId="10" borderId="11" xfId="0" applyFont="1" applyFill="1" applyBorder="1" applyAlignment="1">
      <alignment horizontal="center" vertical="center"/>
    </xf>
    <xf numFmtId="169" fontId="6" fillId="11" borderId="8" xfId="0" applyNumberFormat="1" applyFont="1" applyFill="1" applyBorder="1" applyAlignment="1">
      <alignment horizontal="center"/>
    </xf>
    <xf numFmtId="0" fontId="6" fillId="18" borderId="0" xfId="0" applyFont="1" applyFill="1" applyBorder="1" applyAlignment="1">
      <alignment wrapText="1"/>
    </xf>
    <xf numFmtId="0" fontId="0" fillId="18" borderId="0" xfId="0" applyFill="1" applyBorder="1" applyAlignment="1">
      <alignment wrapText="1"/>
    </xf>
    <xf numFmtId="0" fontId="7" fillId="3" borderId="90" xfId="0" applyFont="1" applyFill="1" applyBorder="1" applyAlignment="1">
      <alignment horizontal="center" vertical="center" wrapText="1"/>
    </xf>
    <xf numFmtId="0" fontId="0" fillId="0" borderId="87" xfId="0" applyBorder="1" applyAlignment="1">
      <alignment horizontal="center" vertical="center" wrapText="1"/>
    </xf>
    <xf numFmtId="164" fontId="6" fillId="11" borderId="1" xfId="3" applyNumberFormat="1" applyFont="1" applyFill="1" applyBorder="1" applyAlignment="1">
      <alignment horizontal="center" vertical="center"/>
    </xf>
    <xf numFmtId="164" fontId="6" fillId="11" borderId="9" xfId="3" applyNumberFormat="1" applyFont="1" applyFill="1" applyBorder="1" applyAlignment="1">
      <alignment horizontal="center" vertical="center"/>
    </xf>
    <xf numFmtId="0" fontId="7" fillId="10" borderId="6" xfId="0" applyFont="1" applyFill="1" applyBorder="1" applyAlignment="1">
      <alignment horizontal="center" vertical="center" wrapText="1"/>
    </xf>
    <xf numFmtId="0" fontId="13" fillId="13" borderId="10" xfId="0" applyFont="1" applyFill="1" applyBorder="1" applyAlignment="1">
      <alignment horizontal="center" vertical="center" wrapText="1"/>
    </xf>
    <xf numFmtId="0" fontId="7" fillId="6" borderId="5" xfId="0" applyFont="1" applyFill="1" applyBorder="1" applyAlignment="1">
      <alignment horizontal="center" vertical="center" wrapText="1"/>
    </xf>
    <xf numFmtId="0" fontId="7" fillId="6" borderId="36" xfId="0" applyFont="1" applyFill="1" applyBorder="1" applyAlignment="1">
      <alignment horizontal="center" vertical="center" wrapText="1"/>
    </xf>
    <xf numFmtId="0" fontId="6" fillId="7" borderId="4" xfId="0" applyFont="1" applyFill="1" applyBorder="1" applyAlignment="1">
      <alignment horizontal="center" vertical="center"/>
    </xf>
    <xf numFmtId="0" fontId="6" fillId="7" borderId="37" xfId="0" applyFont="1" applyFill="1" applyBorder="1" applyAlignment="1">
      <alignment horizontal="center" vertical="center"/>
    </xf>
    <xf numFmtId="2" fontId="6" fillId="11" borderId="0" xfId="0" applyNumberFormat="1" applyFont="1" applyFill="1" applyBorder="1" applyAlignment="1">
      <alignment horizontal="center" vertical="center"/>
    </xf>
    <xf numFmtId="10" fontId="6" fillId="11" borderId="8" xfId="3" applyNumberFormat="1" applyFont="1" applyFill="1" applyBorder="1" applyAlignment="1">
      <alignment horizontal="center" vertical="center"/>
    </xf>
    <xf numFmtId="0" fontId="7" fillId="4" borderId="2" xfId="0" applyFont="1" applyFill="1" applyBorder="1" applyAlignment="1">
      <alignment horizontal="center" vertical="center" wrapText="1"/>
    </xf>
    <xf numFmtId="0" fontId="0" fillId="0" borderId="2" xfId="0" applyBorder="1" applyAlignment="1">
      <alignment horizontal="center" vertical="center" wrapText="1"/>
    </xf>
    <xf numFmtId="0" fontId="7" fillId="6" borderId="40" xfId="0" applyFont="1" applyFill="1" applyBorder="1" applyAlignment="1">
      <alignment horizontal="center" vertical="center" wrapText="1"/>
    </xf>
    <xf numFmtId="0" fontId="7" fillId="6" borderId="12" xfId="0" applyFont="1" applyFill="1" applyBorder="1" applyAlignment="1">
      <alignment horizontal="center" vertical="center" wrapText="1"/>
    </xf>
    <xf numFmtId="168" fontId="6" fillId="7" borderId="41" xfId="0" applyNumberFormat="1" applyFont="1" applyFill="1" applyBorder="1" applyAlignment="1">
      <alignment horizontal="center" vertical="center"/>
    </xf>
    <xf numFmtId="168" fontId="6" fillId="7" borderId="13" xfId="0" applyNumberFormat="1" applyFont="1" applyFill="1" applyBorder="1" applyAlignment="1">
      <alignment horizontal="center" vertical="center"/>
    </xf>
    <xf numFmtId="0" fontId="6" fillId="7" borderId="41" xfId="0" applyNumberFormat="1" applyFont="1" applyFill="1" applyBorder="1" applyAlignment="1">
      <alignment horizontal="center" vertical="center"/>
    </xf>
    <xf numFmtId="0" fontId="6" fillId="7" borderId="37" xfId="0" applyNumberFormat="1" applyFont="1" applyFill="1" applyBorder="1" applyAlignment="1">
      <alignment horizontal="center" vertical="center"/>
    </xf>
    <xf numFmtId="179" fontId="6" fillId="4" borderId="104" xfId="0" applyNumberFormat="1" applyFont="1" applyFill="1" applyBorder="1" applyAlignment="1">
      <alignment horizontal="center" vertical="center"/>
    </xf>
    <xf numFmtId="179" fontId="0" fillId="0" borderId="105" xfId="0" applyNumberFormat="1" applyBorder="1" applyAlignment="1">
      <alignment horizontal="center" vertical="center"/>
    </xf>
    <xf numFmtId="0" fontId="13" fillId="10" borderId="0" xfId="0" applyFont="1" applyFill="1" applyBorder="1" applyAlignment="1">
      <alignment horizontal="center" vertical="center"/>
    </xf>
    <xf numFmtId="179" fontId="6" fillId="4" borderId="106" xfId="0" applyNumberFormat="1" applyFont="1" applyFill="1" applyBorder="1" applyAlignment="1">
      <alignment horizontal="center" vertical="center"/>
    </xf>
    <xf numFmtId="179" fontId="0" fillId="0" borderId="107" xfId="0" applyNumberFormat="1" applyBorder="1" applyAlignment="1">
      <alignment horizontal="center" vertical="center"/>
    </xf>
    <xf numFmtId="0" fontId="13" fillId="14" borderId="6" xfId="0" applyFont="1" applyFill="1" applyBorder="1" applyAlignment="1">
      <alignment horizontal="center" vertical="center" wrapText="1"/>
    </xf>
    <xf numFmtId="0" fontId="13" fillId="14" borderId="10" xfId="0" applyFont="1" applyFill="1" applyBorder="1" applyAlignment="1">
      <alignment horizontal="center" vertical="center" wrapText="1"/>
    </xf>
    <xf numFmtId="0" fontId="16" fillId="4" borderId="10" xfId="0" applyFont="1" applyFill="1" applyBorder="1" applyAlignment="1">
      <alignment horizontal="center" vertical="center" wrapText="1"/>
    </xf>
    <xf numFmtId="0" fontId="0" fillId="0" borderId="3" xfId="0" applyBorder="1" applyAlignment="1"/>
    <xf numFmtId="0" fontId="7" fillId="13" borderId="6" xfId="0" applyFont="1" applyFill="1" applyBorder="1" applyAlignment="1">
      <alignment horizontal="center" wrapText="1"/>
    </xf>
    <xf numFmtId="0" fontId="7" fillId="13" borderId="2" xfId="0" applyFont="1" applyFill="1" applyBorder="1" applyAlignment="1">
      <alignment horizontal="center" wrapText="1"/>
    </xf>
    <xf numFmtId="0" fontId="7" fillId="13" borderId="10" xfId="0" applyFont="1" applyFill="1" applyBorder="1" applyAlignment="1">
      <alignment horizontal="center" wrapText="1"/>
    </xf>
    <xf numFmtId="0" fontId="7" fillId="13" borderId="0" xfId="0" applyFont="1" applyFill="1" applyBorder="1" applyAlignment="1">
      <alignment horizontal="center" wrapText="1"/>
    </xf>
    <xf numFmtId="0" fontId="7" fillId="10" borderId="2" xfId="0" applyFont="1" applyFill="1" applyBorder="1" applyAlignment="1">
      <alignment horizontal="center" vertical="center" wrapText="1"/>
    </xf>
    <xf numFmtId="0" fontId="7" fillId="10" borderId="7" xfId="0" applyFont="1" applyFill="1" applyBorder="1" applyAlignment="1">
      <alignment horizontal="center" vertical="center" wrapText="1"/>
    </xf>
    <xf numFmtId="0" fontId="7" fillId="10" borderId="0" xfId="0" applyFont="1" applyFill="1" applyBorder="1" applyAlignment="1">
      <alignment horizontal="center" vertical="center" wrapText="1"/>
    </xf>
    <xf numFmtId="0" fontId="7" fillId="10" borderId="8" xfId="0" applyFont="1" applyFill="1" applyBorder="1" applyAlignment="1">
      <alignment horizontal="center" vertical="center" wrapText="1"/>
    </xf>
    <xf numFmtId="167" fontId="6" fillId="12" borderId="29" xfId="1" applyNumberFormat="1" applyFont="1" applyFill="1" applyBorder="1" applyAlignment="1">
      <alignment horizontal="center" vertical="center"/>
    </xf>
    <xf numFmtId="167" fontId="6" fillId="12" borderId="32" xfId="1" applyNumberFormat="1" applyFont="1" applyFill="1" applyBorder="1" applyAlignment="1">
      <alignment horizontal="center" vertical="center"/>
    </xf>
    <xf numFmtId="167" fontId="6" fillId="12" borderId="30" xfId="1" applyNumberFormat="1" applyFont="1" applyFill="1" applyBorder="1" applyAlignment="1">
      <alignment horizontal="center" vertical="center"/>
    </xf>
    <xf numFmtId="171" fontId="6" fillId="12" borderId="29" xfId="1" applyNumberFormat="1" applyFont="1" applyFill="1" applyBorder="1" applyAlignment="1">
      <alignment horizontal="center" vertical="center"/>
    </xf>
    <xf numFmtId="171" fontId="6" fillId="12" borderId="30" xfId="1" applyNumberFormat="1" applyFont="1" applyFill="1" applyBorder="1" applyAlignment="1">
      <alignment horizontal="center" vertical="center"/>
    </xf>
    <xf numFmtId="0" fontId="6" fillId="9" borderId="79" xfId="0" applyFont="1" applyFill="1" applyBorder="1" applyAlignment="1">
      <alignment horizontal="center"/>
    </xf>
    <xf numFmtId="0" fontId="6" fillId="9" borderId="80" xfId="0" applyFont="1" applyFill="1" applyBorder="1" applyAlignment="1">
      <alignment horizontal="center"/>
    </xf>
    <xf numFmtId="0" fontId="6" fillId="9" borderId="81" xfId="0" applyFont="1" applyFill="1" applyBorder="1" applyAlignment="1">
      <alignment horizontal="center"/>
    </xf>
    <xf numFmtId="0" fontId="20" fillId="4" borderId="2" xfId="0" applyFont="1" applyFill="1" applyBorder="1" applyAlignment="1">
      <alignment horizontal="center" vertical="center"/>
    </xf>
    <xf numFmtId="0" fontId="20" fillId="4" borderId="10" xfId="0" applyFont="1" applyFill="1" applyBorder="1" applyAlignment="1">
      <alignment horizontal="center" vertical="center"/>
    </xf>
    <xf numFmtId="0" fontId="20" fillId="4" borderId="0" xfId="0" applyFont="1" applyFill="1" applyBorder="1" applyAlignment="1">
      <alignment horizontal="center" vertical="center"/>
    </xf>
    <xf numFmtId="0" fontId="20" fillId="4" borderId="1" xfId="0" applyFont="1" applyFill="1" applyBorder="1" applyAlignment="1">
      <alignment horizontal="center" vertical="center"/>
    </xf>
    <xf numFmtId="0" fontId="0" fillId="0" borderId="3" xfId="0" applyBorder="1" applyAlignment="1">
      <alignment horizontal="center" vertical="center" wrapText="1"/>
    </xf>
    <xf numFmtId="0" fontId="6" fillId="4" borderId="3" xfId="0" applyFont="1" applyFill="1" applyBorder="1" applyAlignment="1">
      <alignment horizontal="left" vertical="center"/>
    </xf>
    <xf numFmtId="0" fontId="6" fillId="4" borderId="1" xfId="0" applyFont="1" applyFill="1" applyBorder="1" applyAlignment="1">
      <alignment horizontal="left" vertical="center"/>
    </xf>
    <xf numFmtId="0" fontId="13" fillId="13" borderId="25" xfId="0" applyFont="1" applyFill="1" applyBorder="1" applyAlignment="1">
      <alignment horizontal="center" vertical="center" wrapText="1"/>
    </xf>
    <xf numFmtId="0" fontId="13" fillId="13" borderId="23" xfId="0" applyFont="1" applyFill="1" applyBorder="1" applyAlignment="1">
      <alignment horizontal="center" vertical="center" wrapText="1"/>
    </xf>
    <xf numFmtId="0" fontId="13" fillId="13" borderId="24" xfId="0" applyFont="1" applyFill="1" applyBorder="1" applyAlignment="1">
      <alignment horizontal="center" vertical="center" wrapText="1"/>
    </xf>
    <xf numFmtId="0" fontId="7" fillId="8" borderId="58" xfId="0" applyFont="1" applyFill="1" applyBorder="1" applyAlignment="1">
      <alignment horizontal="center" vertical="center" wrapText="1"/>
    </xf>
    <xf numFmtId="0" fontId="7" fillId="8" borderId="85" xfId="0" applyFont="1" applyFill="1" applyBorder="1" applyAlignment="1">
      <alignment horizontal="center" vertical="center" wrapText="1"/>
    </xf>
    <xf numFmtId="0" fontId="7" fillId="8" borderId="59" xfId="0" applyFont="1" applyFill="1" applyBorder="1" applyAlignment="1">
      <alignment horizontal="center" vertical="center" wrapText="1"/>
    </xf>
    <xf numFmtId="177" fontId="6" fillId="12" borderId="64" xfId="3" applyNumberFormat="1" applyFont="1" applyFill="1" applyBorder="1" applyAlignment="1">
      <alignment horizontal="center" vertical="center"/>
    </xf>
    <xf numFmtId="177" fontId="6" fillId="12" borderId="65" xfId="3" applyNumberFormat="1" applyFont="1" applyFill="1" applyBorder="1" applyAlignment="1">
      <alignment horizontal="center" vertical="center"/>
    </xf>
    <xf numFmtId="177" fontId="6" fillId="12" borderId="66" xfId="3" applyNumberFormat="1" applyFont="1" applyFill="1" applyBorder="1" applyAlignment="1">
      <alignment horizontal="center" vertical="center"/>
    </xf>
    <xf numFmtId="0" fontId="6" fillId="12" borderId="17" xfId="0" applyFont="1" applyFill="1" applyBorder="1" applyAlignment="1">
      <alignment horizontal="center" vertical="center"/>
    </xf>
    <xf numFmtId="0" fontId="6" fillId="12" borderId="22" xfId="0" applyFont="1" applyFill="1" applyBorder="1" applyAlignment="1">
      <alignment horizontal="center" vertical="center"/>
    </xf>
    <xf numFmtId="0" fontId="20" fillId="4" borderId="3" xfId="0" applyFont="1" applyFill="1" applyBorder="1" applyAlignment="1">
      <alignment horizontal="center"/>
    </xf>
    <xf numFmtId="0" fontId="20" fillId="4" borderId="9" xfId="0" applyFont="1" applyFill="1" applyBorder="1" applyAlignment="1">
      <alignment horizontal="center"/>
    </xf>
    <xf numFmtId="0" fontId="16" fillId="4" borderId="2" xfId="0" applyFont="1" applyFill="1" applyBorder="1" applyAlignment="1">
      <alignment horizontal="center" vertical="center" wrapText="1"/>
    </xf>
    <xf numFmtId="0" fontId="16" fillId="4" borderId="7" xfId="0" applyFont="1" applyFill="1" applyBorder="1" applyAlignment="1">
      <alignment horizontal="center" vertical="center" wrapText="1"/>
    </xf>
    <xf numFmtId="0" fontId="16" fillId="4" borderId="3" xfId="0" applyFont="1" applyFill="1" applyBorder="1" applyAlignment="1">
      <alignment horizontal="center" vertical="center" wrapText="1"/>
    </xf>
    <xf numFmtId="0" fontId="16" fillId="4" borderId="1" xfId="0" applyFont="1" applyFill="1" applyBorder="1" applyAlignment="1">
      <alignment horizontal="center" vertical="center" wrapText="1"/>
    </xf>
    <xf numFmtId="0" fontId="16" fillId="4" borderId="9" xfId="0" applyFont="1" applyFill="1" applyBorder="1" applyAlignment="1">
      <alignment horizontal="center" vertical="center" wrapText="1"/>
    </xf>
    <xf numFmtId="0" fontId="7" fillId="2" borderId="8" xfId="0" applyFont="1" applyFill="1" applyBorder="1" applyAlignment="1">
      <alignment horizontal="center" vertical="center" wrapText="1"/>
    </xf>
    <xf numFmtId="164" fontId="6" fillId="11" borderId="0" xfId="0" applyNumberFormat="1" applyFont="1" applyFill="1" applyBorder="1" applyAlignment="1">
      <alignment horizontal="center" vertical="center"/>
    </xf>
    <xf numFmtId="164" fontId="6" fillId="11" borderId="8" xfId="0" applyNumberFormat="1" applyFont="1" applyFill="1" applyBorder="1" applyAlignment="1">
      <alignment horizontal="center" vertical="center"/>
    </xf>
    <xf numFmtId="0" fontId="7" fillId="3" borderId="86" xfId="0" applyFont="1" applyFill="1" applyBorder="1" applyAlignment="1">
      <alignment horizontal="center" vertical="center" wrapText="1"/>
    </xf>
    <xf numFmtId="0" fontId="7" fillId="3" borderId="87" xfId="0" applyFont="1" applyFill="1" applyBorder="1" applyAlignment="1">
      <alignment horizontal="center" vertical="center" wrapText="1"/>
    </xf>
    <xf numFmtId="10" fontId="6" fillId="11" borderId="1" xfId="3" applyNumberFormat="1" applyFont="1" applyFill="1" applyBorder="1" applyAlignment="1">
      <alignment horizontal="center" vertical="center"/>
    </xf>
    <xf numFmtId="0" fontId="7" fillId="10" borderId="3" xfId="0" applyFont="1" applyFill="1" applyBorder="1" applyAlignment="1">
      <alignment horizontal="center" vertical="center" wrapText="1"/>
    </xf>
    <xf numFmtId="0" fontId="6" fillId="7" borderId="61" xfId="0" applyFont="1" applyFill="1" applyBorder="1" applyAlignment="1">
      <alignment horizontal="center" vertical="center"/>
    </xf>
    <xf numFmtId="2" fontId="6" fillId="11" borderId="1" xfId="0" applyNumberFormat="1" applyFont="1" applyFill="1" applyBorder="1" applyAlignment="1">
      <alignment horizontal="center" vertical="center"/>
    </xf>
    <xf numFmtId="10" fontId="6" fillId="11" borderId="9" xfId="3" applyNumberFormat="1" applyFont="1" applyFill="1" applyBorder="1" applyAlignment="1">
      <alignment horizontal="center" vertical="center"/>
    </xf>
    <xf numFmtId="0" fontId="7" fillId="4" borderId="112" xfId="0" applyFont="1" applyFill="1" applyBorder="1" applyAlignment="1">
      <alignment horizontal="center" vertical="center" wrapText="1"/>
    </xf>
    <xf numFmtId="179" fontId="6" fillId="4" borderId="105" xfId="0" applyNumberFormat="1" applyFont="1" applyFill="1" applyBorder="1" applyAlignment="1">
      <alignment horizontal="center" vertical="center"/>
    </xf>
    <xf numFmtId="0" fontId="13" fillId="10" borderId="110" xfId="0" applyFont="1" applyFill="1" applyBorder="1" applyAlignment="1">
      <alignment horizontal="center" vertical="center"/>
    </xf>
    <xf numFmtId="179" fontId="6" fillId="4" borderId="107" xfId="0" applyNumberFormat="1" applyFont="1" applyFill="1" applyBorder="1" applyAlignment="1">
      <alignment horizontal="center" vertical="center"/>
    </xf>
    <xf numFmtId="0" fontId="16" fillId="4" borderId="98" xfId="0" applyFont="1" applyFill="1" applyBorder="1" applyAlignment="1">
      <alignment horizontal="center" vertical="center" wrapText="1"/>
    </xf>
    <xf numFmtId="0" fontId="16" fillId="4" borderId="99" xfId="0" applyFont="1" applyFill="1" applyBorder="1" applyAlignment="1">
      <alignment horizontal="center" vertical="center" wrapText="1"/>
    </xf>
    <xf numFmtId="0" fontId="16" fillId="4" borderId="100" xfId="0" applyFont="1" applyFill="1" applyBorder="1" applyAlignment="1">
      <alignment horizontal="center" vertical="center" wrapText="1"/>
    </xf>
    <xf numFmtId="0" fontId="20" fillId="4" borderId="8" xfId="0" applyFont="1" applyFill="1" applyBorder="1" applyAlignment="1">
      <alignment horizontal="center" vertical="center"/>
    </xf>
    <xf numFmtId="0" fontId="13" fillId="14" borderId="3" xfId="0" applyFont="1" applyFill="1" applyBorder="1" applyAlignment="1">
      <alignment horizontal="center" vertical="center" wrapText="1"/>
    </xf>
    <xf numFmtId="0" fontId="8" fillId="7" borderId="4" xfId="0" applyFont="1" applyFill="1" applyBorder="1" applyAlignment="1">
      <alignment horizontal="center" vertical="center"/>
    </xf>
    <xf numFmtId="0" fontId="8" fillId="7" borderId="37" xfId="0" applyFont="1" applyFill="1" applyBorder="1" applyAlignment="1">
      <alignment horizontal="center" vertical="center"/>
    </xf>
    <xf numFmtId="0" fontId="8" fillId="7" borderId="41" xfId="0" applyFont="1" applyFill="1" applyBorder="1" applyAlignment="1">
      <alignment horizontal="center" vertical="center"/>
    </xf>
    <xf numFmtId="0" fontId="8" fillId="7" borderId="41" xfId="0" applyNumberFormat="1" applyFont="1" applyFill="1" applyBorder="1" applyAlignment="1">
      <alignment horizontal="center" vertical="center"/>
    </xf>
    <xf numFmtId="0" fontId="8" fillId="7" borderId="37" xfId="0" applyNumberFormat="1" applyFont="1" applyFill="1" applyBorder="1" applyAlignment="1">
      <alignment horizontal="center" vertical="center"/>
    </xf>
    <xf numFmtId="10" fontId="6" fillId="23" borderId="0" xfId="3" applyNumberFormat="1" applyFont="1" applyFill="1" applyBorder="1" applyAlignment="1">
      <alignment horizontal="center" vertical="center"/>
    </xf>
    <xf numFmtId="0" fontId="6" fillId="11" borderId="0" xfId="3" applyNumberFormat="1" applyFont="1" applyFill="1" applyBorder="1" applyAlignment="1">
      <alignment horizontal="center" vertical="center"/>
    </xf>
    <xf numFmtId="169" fontId="6" fillId="11" borderId="0" xfId="0" applyNumberFormat="1" applyFont="1" applyFill="1" applyBorder="1" applyAlignment="1">
      <alignment horizontal="center" vertical="center"/>
    </xf>
    <xf numFmtId="172" fontId="6" fillId="11" borderId="0" xfId="0" applyNumberFormat="1" applyFont="1" applyFill="1" applyBorder="1" applyAlignment="1">
      <alignment horizontal="center" vertical="center"/>
    </xf>
    <xf numFmtId="173" fontId="6" fillId="11" borderId="0" xfId="0" applyNumberFormat="1" applyFont="1" applyFill="1" applyBorder="1" applyAlignment="1">
      <alignment horizontal="center" vertical="center"/>
    </xf>
    <xf numFmtId="0" fontId="7" fillId="10" borderId="10" xfId="0" applyFont="1" applyFill="1" applyBorder="1" applyAlignment="1">
      <alignment horizontal="center" vertical="center"/>
    </xf>
    <xf numFmtId="0" fontId="7" fillId="10" borderId="0" xfId="0" applyFont="1" applyFill="1" applyBorder="1" applyAlignment="1">
      <alignment horizontal="center" vertical="center"/>
    </xf>
    <xf numFmtId="0" fontId="7" fillId="10" borderId="3" xfId="0" applyFont="1" applyFill="1" applyBorder="1" applyAlignment="1">
      <alignment horizontal="center" vertical="center"/>
    </xf>
    <xf numFmtId="0" fontId="7" fillId="10" borderId="1" xfId="0" applyFont="1" applyFill="1" applyBorder="1" applyAlignment="1">
      <alignment horizontal="center" vertical="center"/>
    </xf>
    <xf numFmtId="0" fontId="7" fillId="10" borderId="2" xfId="0" applyFont="1" applyFill="1" applyBorder="1" applyAlignment="1">
      <alignment horizontal="center" wrapText="1"/>
    </xf>
    <xf numFmtId="0" fontId="7" fillId="10" borderId="7" xfId="0" applyFont="1" applyFill="1" applyBorder="1" applyAlignment="1">
      <alignment horizontal="center" wrapText="1"/>
    </xf>
    <xf numFmtId="0" fontId="7" fillId="10" borderId="0" xfId="0" applyFont="1" applyFill="1" applyBorder="1" applyAlignment="1">
      <alignment horizontal="center" wrapText="1"/>
    </xf>
    <xf numFmtId="0" fontId="7" fillId="10" borderId="8" xfId="0" applyFont="1" applyFill="1" applyBorder="1" applyAlignment="1">
      <alignment horizontal="center" wrapText="1"/>
    </xf>
    <xf numFmtId="0" fontId="11" fillId="9" borderId="77" xfId="2" applyFont="1" applyFill="1" applyBorder="1" applyAlignment="1">
      <alignment horizontal="center"/>
    </xf>
    <xf numFmtId="0" fontId="11" fillId="9" borderId="1" xfId="2" applyFont="1" applyFill="1" applyBorder="1" applyAlignment="1">
      <alignment horizontal="center"/>
    </xf>
    <xf numFmtId="0" fontId="11" fillId="9" borderId="78" xfId="2" applyFont="1" applyFill="1" applyBorder="1" applyAlignment="1">
      <alignment horizontal="center"/>
    </xf>
    <xf numFmtId="0" fontId="40" fillId="13" borderId="23" xfId="0" applyFont="1" applyFill="1" applyBorder="1" applyAlignment="1">
      <alignment horizontal="center" vertical="center" wrapText="1"/>
    </xf>
    <xf numFmtId="0" fontId="40" fillId="13" borderId="24" xfId="0" applyFont="1" applyFill="1" applyBorder="1" applyAlignment="1">
      <alignment horizontal="center" vertical="center" wrapText="1"/>
    </xf>
    <xf numFmtId="0" fontId="7" fillId="8" borderId="15" xfId="0" applyFont="1" applyFill="1" applyBorder="1" applyAlignment="1">
      <alignment horizontal="center" vertical="center" wrapText="1"/>
    </xf>
    <xf numFmtId="0" fontId="7" fillId="8" borderId="101" xfId="0" applyFont="1" applyFill="1" applyBorder="1" applyAlignment="1">
      <alignment horizontal="center" vertical="center" wrapText="1"/>
    </xf>
    <xf numFmtId="168" fontId="6" fillId="12" borderId="64" xfId="3" applyNumberFormat="1" applyFont="1" applyFill="1" applyBorder="1" applyAlignment="1">
      <alignment horizontal="center" vertical="center"/>
    </xf>
    <xf numFmtId="168" fontId="6" fillId="12" borderId="65" xfId="3" applyNumberFormat="1" applyFont="1" applyFill="1" applyBorder="1" applyAlignment="1">
      <alignment horizontal="center" vertical="center"/>
    </xf>
    <xf numFmtId="168" fontId="6" fillId="12" borderId="66" xfId="3" applyNumberFormat="1" applyFont="1" applyFill="1" applyBorder="1" applyAlignment="1">
      <alignment horizontal="center" vertical="center"/>
    </xf>
  </cellXfs>
  <cellStyles count="13">
    <cellStyle name="Comma 2" xfId="12"/>
    <cellStyle name="Currency" xfId="1" builtinId="4"/>
    <cellStyle name="Excel Built-in Normal" xfId="4"/>
    <cellStyle name="Followed Hyperlink" xfId="5" builtinId="9" hidden="1"/>
    <cellStyle name="Hyperlink" xfId="2" builtinId="8"/>
    <cellStyle name="Hyperlink 2" xfId="10"/>
    <cellStyle name="Hyperlink 48" xfId="7"/>
    <cellStyle name="Normal" xfId="0" builtinId="0"/>
    <cellStyle name="Normal 2" xfId="8"/>
    <cellStyle name="Normal 3" xfId="6"/>
    <cellStyle name="Percent" xfId="3" builtinId="5"/>
    <cellStyle name="Percent 2" xfId="9"/>
    <cellStyle name="Percent 3" xfId="11"/>
  </cellStyles>
  <dxfs count="0"/>
  <tableStyles count="0" defaultTableStyle="TableStyleMedium2"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theme" Target="theme/theme1.xml"/><Relationship Id="rId23" Type="http://schemas.openxmlformats.org/officeDocument/2006/relationships/styles" Target="styles.xml"/><Relationship Id="rId24" Type="http://schemas.openxmlformats.org/officeDocument/2006/relationships/sharedStrings" Target="sharedStrings.xml"/><Relationship Id="rId25" Type="http://schemas.openxmlformats.org/officeDocument/2006/relationships/calcChain" Target="calcChain.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s>
</file>

<file path=xl/drawings/drawing1.xml><?xml version="1.0" encoding="utf-8"?>
<xdr:wsDr xmlns:xdr="http://schemas.openxmlformats.org/drawingml/2006/spreadsheetDrawing" xmlns:a="http://schemas.openxmlformats.org/drawingml/2006/main">
  <xdr:oneCellAnchor>
    <xdr:from>
      <xdr:col>1</xdr:col>
      <xdr:colOff>457200</xdr:colOff>
      <xdr:row>20</xdr:row>
      <xdr:rowOff>60960</xdr:rowOff>
    </xdr:from>
    <xdr:ext cx="184731" cy="264560"/>
    <xdr:sp macro="" textlink="">
      <xdr:nvSpPr>
        <xdr:cNvPr id="2" name="TextBox 1"/>
        <xdr:cNvSpPr txBox="1"/>
      </xdr:nvSpPr>
      <xdr:spPr>
        <a:xfrm>
          <a:off x="558800" y="534416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www.givewell.org/international/technical/criteria/cost-effectiveness" TargetMode="External"/><Relationship Id="rId4" Type="http://schemas.openxmlformats.org/officeDocument/2006/relationships/hyperlink" Target="http://www.givewell.org/international/technical/criteria/cost-effectiveness" TargetMode="External"/><Relationship Id="rId1" Type="http://schemas.openxmlformats.org/officeDocument/2006/relationships/hyperlink" Target="http://www.givewell.org/charities/top-charities" TargetMode="External"/><Relationship Id="rId2" Type="http://schemas.openxmlformats.org/officeDocument/2006/relationships/hyperlink" Target="http://www.givewell.org/international/technical/criteria/cost-effectiveness/cost-effectiveness-models" TargetMode="External"/></Relationships>
</file>

<file path=xl/worksheets/_rels/sheet10.xml.rels><?xml version="1.0" encoding="UTF-8" standalone="yes"?>
<Relationships xmlns="http://schemas.openxmlformats.org/package/2006/relationships"><Relationship Id="rId1" Type="http://schemas.openxmlformats.org/officeDocument/2006/relationships/hyperlink" Target="http://www.givewell.org/node/2202" TargetMode="External"/><Relationship Id="rId2" Type="http://schemas.openxmlformats.org/officeDocument/2006/relationships/vmlDrawing" Target="../drawings/vmlDrawing8.vml"/><Relationship Id="rId3" Type="http://schemas.openxmlformats.org/officeDocument/2006/relationships/comments" Target="../comments8.xml"/></Relationships>
</file>

<file path=xl/worksheets/_rels/sheet11.xml.rels><?xml version="1.0" encoding="UTF-8" standalone="yes"?>
<Relationships xmlns="http://schemas.openxmlformats.org/package/2006/relationships"><Relationship Id="rId1" Type="http://schemas.openxmlformats.org/officeDocument/2006/relationships/hyperlink" Target="http://www.givewell.org/node/2202" TargetMode="External"/><Relationship Id="rId2" Type="http://schemas.openxmlformats.org/officeDocument/2006/relationships/vmlDrawing" Target="../drawings/vmlDrawing9.vml"/><Relationship Id="rId3" Type="http://schemas.openxmlformats.org/officeDocument/2006/relationships/comments" Target="../comments9.xml"/></Relationships>
</file>

<file path=xl/worksheets/_rels/sheet12.xml.rels><?xml version="1.0" encoding="UTF-8" standalone="yes"?>
<Relationships xmlns="http://schemas.openxmlformats.org/package/2006/relationships"><Relationship Id="rId1" Type="http://schemas.openxmlformats.org/officeDocument/2006/relationships/hyperlink" Target="http://www.givewell.org/node/2202" TargetMode="External"/><Relationship Id="rId2" Type="http://schemas.openxmlformats.org/officeDocument/2006/relationships/vmlDrawing" Target="../drawings/vmlDrawing10.vml"/><Relationship Id="rId3" Type="http://schemas.openxmlformats.org/officeDocument/2006/relationships/comments" Target="../comments10.xml"/></Relationships>
</file>

<file path=xl/worksheets/_rels/sheet13.xml.rels><?xml version="1.0" encoding="UTF-8" standalone="yes"?>
<Relationships xmlns="http://schemas.openxmlformats.org/package/2006/relationships"><Relationship Id="rId1" Type="http://schemas.openxmlformats.org/officeDocument/2006/relationships/hyperlink" Target="http://www.givewell.org/node/2202" TargetMode="External"/><Relationship Id="rId2" Type="http://schemas.openxmlformats.org/officeDocument/2006/relationships/vmlDrawing" Target="../drawings/vmlDrawing11.vml"/><Relationship Id="rId3" Type="http://schemas.openxmlformats.org/officeDocument/2006/relationships/comments" Target="../comments11.xml"/></Relationships>
</file>

<file path=xl/worksheets/_rels/sheet14.xml.rels><?xml version="1.0" encoding="UTF-8" standalone="yes"?>
<Relationships xmlns="http://schemas.openxmlformats.org/package/2006/relationships"><Relationship Id="rId1" Type="http://schemas.openxmlformats.org/officeDocument/2006/relationships/hyperlink" Target="http://www.givewell.org/node/2202" TargetMode="External"/><Relationship Id="rId2" Type="http://schemas.openxmlformats.org/officeDocument/2006/relationships/vmlDrawing" Target="../drawings/vmlDrawing12.vml"/><Relationship Id="rId3" Type="http://schemas.openxmlformats.org/officeDocument/2006/relationships/comments" Target="../comments12.xml"/></Relationships>
</file>

<file path=xl/worksheets/_rels/sheet15.xml.rels><?xml version="1.0" encoding="UTF-8" standalone="yes"?>
<Relationships xmlns="http://schemas.openxmlformats.org/package/2006/relationships"><Relationship Id="rId1" Type="http://schemas.openxmlformats.org/officeDocument/2006/relationships/hyperlink" Target="http://www.givewell.org/node/2202" TargetMode="External"/><Relationship Id="rId2" Type="http://schemas.openxmlformats.org/officeDocument/2006/relationships/vmlDrawing" Target="../drawings/vmlDrawing13.vml"/><Relationship Id="rId3" Type="http://schemas.openxmlformats.org/officeDocument/2006/relationships/comments" Target="../comments13.xml"/></Relationships>
</file>

<file path=xl/worksheets/_rels/sheet16.xml.rels><?xml version="1.0" encoding="UTF-8" standalone="yes"?>
<Relationships xmlns="http://schemas.openxmlformats.org/package/2006/relationships"><Relationship Id="rId1" Type="http://schemas.openxmlformats.org/officeDocument/2006/relationships/hyperlink" Target="http://www.givewell.org/node/2202" TargetMode="External"/><Relationship Id="rId2" Type="http://schemas.openxmlformats.org/officeDocument/2006/relationships/vmlDrawing" Target="../drawings/vmlDrawing14.vml"/><Relationship Id="rId3" Type="http://schemas.openxmlformats.org/officeDocument/2006/relationships/comments" Target="../comments14.xml"/></Relationships>
</file>

<file path=xl/worksheets/_rels/sheet17.xml.rels><?xml version="1.0" encoding="UTF-8" standalone="yes"?>
<Relationships xmlns="http://schemas.openxmlformats.org/package/2006/relationships"><Relationship Id="rId1" Type="http://schemas.openxmlformats.org/officeDocument/2006/relationships/hyperlink" Target="http://www.givewell.org/node/2202" TargetMode="External"/><Relationship Id="rId2" Type="http://schemas.openxmlformats.org/officeDocument/2006/relationships/vmlDrawing" Target="../drawings/vmlDrawing15.vml"/><Relationship Id="rId3" Type="http://schemas.openxmlformats.org/officeDocument/2006/relationships/comments" Target="../comments15.xml"/></Relationships>
</file>

<file path=xl/worksheets/_rels/sheet18.xml.rels><?xml version="1.0" encoding="UTF-8" standalone="yes"?>
<Relationships xmlns="http://schemas.openxmlformats.org/package/2006/relationships"><Relationship Id="rId1" Type="http://schemas.openxmlformats.org/officeDocument/2006/relationships/hyperlink" Target="http://www.givewell.org/node/2202" TargetMode="External"/><Relationship Id="rId2" Type="http://schemas.openxmlformats.org/officeDocument/2006/relationships/vmlDrawing" Target="../drawings/vmlDrawing16.vml"/><Relationship Id="rId3" Type="http://schemas.openxmlformats.org/officeDocument/2006/relationships/comments" Target="../comments16.xml"/></Relationships>
</file>

<file path=xl/worksheets/_rels/sheet2.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20.xml.rels><?xml version="1.0" encoding="UTF-8" standalone="yes"?>
<Relationships xmlns="http://schemas.openxmlformats.org/package/2006/relationships"><Relationship Id="rId3" Type="http://schemas.openxmlformats.org/officeDocument/2006/relationships/vmlDrawing" Target="../drawings/vmlDrawing17.vml"/><Relationship Id="rId4" Type="http://schemas.openxmlformats.org/officeDocument/2006/relationships/comments" Target="../comments17.xml"/><Relationship Id="rId1" Type="http://schemas.openxmlformats.org/officeDocument/2006/relationships/hyperlink" Target="http://www.givewell.org/node/2202" TargetMode="External"/><Relationship Id="rId2" Type="http://schemas.openxmlformats.org/officeDocument/2006/relationships/hyperlink" Target="http://data.worldbank.org/indicator/SP.POP.0014.TO.ZS/countries/SSA?display=graph" TargetMode="Externa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8.vml"/><Relationship Id="rId3" Type="http://schemas.openxmlformats.org/officeDocument/2006/relationships/comments" Target="../comments18.xml"/></Relationships>
</file>

<file path=xl/worksheets/_rels/sheet3.xml.rels><?xml version="1.0" encoding="UTF-8" standalone="yes"?>
<Relationships xmlns="http://schemas.openxmlformats.org/package/2006/relationships"><Relationship Id="rId9" Type="http://schemas.openxmlformats.org/officeDocument/2006/relationships/hyperlink" Target="http://www.givewell.org/international/top-charities/give-directly" TargetMode="External"/><Relationship Id="rId20" Type="http://schemas.openxmlformats.org/officeDocument/2006/relationships/hyperlink" Target="http://www.givewell.org/international/top-charities/give-directly" TargetMode="External"/><Relationship Id="rId21" Type="http://schemas.openxmlformats.org/officeDocument/2006/relationships/hyperlink" Target="http://data.worldbank.org/indicator/SP.POP.0014.TO.ZS/countries/SSA?display=graph" TargetMode="External"/><Relationship Id="rId22" Type="http://schemas.openxmlformats.org/officeDocument/2006/relationships/hyperlink" Target="http://www.givewell.org/international/top-charities/give-directly" TargetMode="External"/><Relationship Id="rId23" Type="http://schemas.openxmlformats.org/officeDocument/2006/relationships/vmlDrawing" Target="../drawings/vmlDrawing2.vml"/><Relationship Id="rId24" Type="http://schemas.openxmlformats.org/officeDocument/2006/relationships/comments" Target="../comments2.xml"/><Relationship Id="rId10" Type="http://schemas.openxmlformats.org/officeDocument/2006/relationships/hyperlink" Target="http://www.givewell.org/international/technical/programs/deworming/reanalysis" TargetMode="External"/><Relationship Id="rId11" Type="http://schemas.openxmlformats.org/officeDocument/2006/relationships/hyperlink" Target="http://www.givewell.org/international/charities/GAIN" TargetMode="External"/><Relationship Id="rId12" Type="http://schemas.openxmlformats.org/officeDocument/2006/relationships/hyperlink" Target="http://www.givewell.org/international/top-charities/deworm-world-initiative" TargetMode="External"/><Relationship Id="rId13" Type="http://schemas.openxmlformats.org/officeDocument/2006/relationships/hyperlink" Target="http://www.givewell.org/international/top-charities/deworm-world-initiative" TargetMode="External"/><Relationship Id="rId14" Type="http://schemas.openxmlformats.org/officeDocument/2006/relationships/hyperlink" Target="http://www.plosmedicine.org/article/info:doi/10.1371/journal.pmed.0020124" TargetMode="External"/><Relationship Id="rId15" Type="http://schemas.openxmlformats.org/officeDocument/2006/relationships/hyperlink" Target="http://www.plosmedicine.org/article/info:doi/10.1371/journal.pmed.0020124" TargetMode="External"/><Relationship Id="rId16" Type="http://schemas.openxmlformats.org/officeDocument/2006/relationships/hyperlink" Target="http://www.givewell.org/international/top-charities/deworm-world-initiative" TargetMode="External"/><Relationship Id="rId17" Type="http://schemas.openxmlformats.org/officeDocument/2006/relationships/hyperlink" Target="http://www.givewell.org/international/technical/programs/salt-iodization" TargetMode="External"/><Relationship Id="rId18" Type="http://schemas.openxmlformats.org/officeDocument/2006/relationships/hyperlink" Target="http://www.givewell.org/international/technical/programs/salt-iodization" TargetMode="External"/><Relationship Id="rId19" Type="http://schemas.openxmlformats.org/officeDocument/2006/relationships/hyperlink" Target="http://www.princeton.edu/~joha/publications/Haushofer_Shapiro_UCT_2013.pdf" TargetMode="External"/><Relationship Id="rId1" Type="http://schemas.openxmlformats.org/officeDocument/2006/relationships/hyperlink" Target="http://www.givewell.org/international/technical/programs/cash-transfers" TargetMode="External"/><Relationship Id="rId2" Type="http://schemas.openxmlformats.org/officeDocument/2006/relationships/hyperlink" Target="http://www.givewell.org/node/2218" TargetMode="External"/><Relationship Id="rId3" Type="http://schemas.openxmlformats.org/officeDocument/2006/relationships/hyperlink" Target="http://www.givewell.org/international/top-charities/give-directly" TargetMode="External"/><Relationship Id="rId4" Type="http://schemas.openxmlformats.org/officeDocument/2006/relationships/hyperlink" Target="http://www.princeton.edu/~joha/publications/Haushofer_Shapiro_Policy_Brief_2013.pdf" TargetMode="External"/><Relationship Id="rId5" Type="http://schemas.openxmlformats.org/officeDocument/2006/relationships/hyperlink" Target="http://www.princeton.edu/~joha/publications/Haushofer_Shapiro_UCT_Online_Appendix_2013.pdf" TargetMode="External"/><Relationship Id="rId6" Type="http://schemas.openxmlformats.org/officeDocument/2006/relationships/hyperlink" Target="http://www.givewell.org/international/technical/programs/cash-transfers/" TargetMode="External"/><Relationship Id="rId7" Type="http://schemas.openxmlformats.org/officeDocument/2006/relationships/hyperlink" Target="http://www.givewell.org/node/2365" TargetMode="External"/><Relationship Id="rId8" Type="http://schemas.openxmlformats.org/officeDocument/2006/relationships/hyperlink" Target="http://www.givewell.org/node/2365" TargetMode="External"/></Relationships>
</file>

<file path=xl/worksheets/_rels/sheet4.xml.rels><?xml version="1.0" encoding="UTF-8" standalone="yes"?>
<Relationships xmlns="http://schemas.openxmlformats.org/package/2006/relationships"><Relationship Id="rId9" Type="http://schemas.openxmlformats.org/officeDocument/2006/relationships/hyperlink" Target="http://www.ipc.umich.edu/mckenzie-ghana-edts-11-18-2010.pdf" TargetMode="External"/><Relationship Id="rId20" Type="http://schemas.openxmlformats.org/officeDocument/2006/relationships/hyperlink" Target="http://www.givewell.org/international/top-charities/deworm-world-initiative" TargetMode="External"/><Relationship Id="rId21" Type="http://schemas.openxmlformats.org/officeDocument/2006/relationships/hyperlink" Target="http://dhsprogram.com/pubs/pdf/FR300/FR300.pdf" TargetMode="External"/><Relationship Id="rId22" Type="http://schemas.openxmlformats.org/officeDocument/2006/relationships/hyperlink" Target="http://www.cochrane.org/reviews/en/ab000363.html" TargetMode="External"/><Relationship Id="rId23" Type="http://schemas.openxmlformats.org/officeDocument/2006/relationships/hyperlink" Target="http://dhsprogram.com/pubs/pdf/FR247/FR247.pdf" TargetMode="External"/><Relationship Id="rId24" Type="http://schemas.openxmlformats.org/officeDocument/2006/relationships/hyperlink" Target="http://www.givewell.org/files/DWDA%202009/Interventions/Nets/Summary%20of%20ITN%20RCTs.xls" TargetMode="External"/><Relationship Id="rId25" Type="http://schemas.openxmlformats.org/officeDocument/2006/relationships/hyperlink" Target="http://files.givewell.org/files/DWDA%202009/Interventions/Nets/2012%20vet/Malaria%20case%20rate%20and%20death%20rate%20information%20edited.xls" TargetMode="External"/><Relationship Id="rId26" Type="http://schemas.openxmlformats.org/officeDocument/2006/relationships/hyperlink" Target="https://www.againstmalaria.com/Distributions.aspx" TargetMode="External"/><Relationship Id="rId27" Type="http://schemas.openxmlformats.org/officeDocument/2006/relationships/hyperlink" Target="http://dhsprogram.com/pubs/pdf/MIS18/MIS18.pdf" TargetMode="External"/><Relationship Id="rId28" Type="http://schemas.openxmlformats.org/officeDocument/2006/relationships/hyperlink" Target="http://files.givewell.org/files/DWDA%202009/Interventions/Iodine/Horton,%20Mannar%20and%20Wesley%202008.pdf" TargetMode="External"/><Relationship Id="rId29" Type="http://schemas.openxmlformats.org/officeDocument/2006/relationships/vmlDrawing" Target="../drawings/vmlDrawing3.vml"/><Relationship Id="rId30" Type="http://schemas.openxmlformats.org/officeDocument/2006/relationships/comments" Target="../comments3.xml"/><Relationship Id="rId10" Type="http://schemas.openxmlformats.org/officeDocument/2006/relationships/hyperlink" Target="http://siteresources.worldbank.org/DEC/Resources/Experimental_Evidence_on_Returns_to_Capital_and_Access_to_Finance_in-Mexico.pdf" TargetMode="External"/><Relationship Id="rId11" Type="http://schemas.openxmlformats.org/officeDocument/2006/relationships/hyperlink" Target="http://qje.oxfordjournals.org/content/123/4/1329.short" TargetMode="External"/><Relationship Id="rId12" Type="http://schemas.openxmlformats.org/officeDocument/2006/relationships/hyperlink" Target="http://www.givewell.org/files/DWDA%202009/Interventions/Cash%20Transfers/Blattman%20et%20al%202013.pdf" TargetMode="External"/><Relationship Id="rId13" Type="http://schemas.openxmlformats.org/officeDocument/2006/relationships/hyperlink" Target="http://papers.ssrn.com/sol3/papers.cfm?abstract_id=2268552" TargetMode="External"/><Relationship Id="rId14" Type="http://schemas.openxmlformats.org/officeDocument/2006/relationships/hyperlink" Target="http://www.givewell.org/files/DWDA%202009/GiveDirectly/household%20size%20analysis.xls" TargetMode="External"/><Relationship Id="rId15" Type="http://schemas.openxmlformats.org/officeDocument/2006/relationships/hyperlink" Target="http://emiguel.econ.berkeley.edu/assets/miguel_research/64/Worms-at-Work_2015-11-11-Final.pdf" TargetMode="External"/><Relationship Id="rId16" Type="http://schemas.openxmlformats.org/officeDocument/2006/relationships/hyperlink" Target="http://www.givewell.org/files/DWDA%202009/Interventions/Deworming/Cost-effectiveness_for_deworming.xls" TargetMode="External"/><Relationship Id="rId17" Type="http://schemas.openxmlformats.org/officeDocument/2006/relationships/hyperlink" Target="http://www.givewell.org/international/top-charities/AMF" TargetMode="External"/><Relationship Id="rId18" Type="http://schemas.openxmlformats.org/officeDocument/2006/relationships/hyperlink" Target="http://www.givewell.org/international/top-charities/give-directly" TargetMode="External"/><Relationship Id="rId19" Type="http://schemas.openxmlformats.org/officeDocument/2006/relationships/hyperlink" Target="http://www.givewell.org/international/top-charities/schistosomiasis-control-initiative" TargetMode="External"/><Relationship Id="rId1" Type="http://schemas.openxmlformats.org/officeDocument/2006/relationships/hyperlink" Target="http://www.givewell.org/files/DWDA%202009/Interventions/Deworming/MK%20Reanalysis/KLPS-Labor_2012-08-05.pdf" TargetMode="External"/><Relationship Id="rId2" Type="http://schemas.openxmlformats.org/officeDocument/2006/relationships/hyperlink" Target="http://www.givewell.org/files/DWDA%202009/Interventions/Deworming/Miguel%20Kremer%20Worms%20-%20Identifying%20Impacts%20on%20Education%20and%20Health%20in%20the%20Presence%20of%20Treatment%20Externalities.pdf" TargetMode="External"/><Relationship Id="rId3" Type="http://schemas.openxmlformats.org/officeDocument/2006/relationships/hyperlink" Target="http://www.plosmedicine.org/article/info:doi/10.1371/journal.pmed.0020124" TargetMode="External"/><Relationship Id="rId4" Type="http://schemas.openxmlformats.org/officeDocument/2006/relationships/hyperlink" Target="http://www.givewell.org/files/DWDA%202009/Interventions/Global%20Burden%20of%20Disease%20and%20Risk%20Factors.pdf" TargetMode="External"/><Relationship Id="rId5" Type="http://schemas.openxmlformats.org/officeDocument/2006/relationships/hyperlink" Target="http://www.givewell.org/files/DWDA%202009/Interventions/Nets/GiveWell%20net%20cost%20estimates%202013.xls" TargetMode="External"/><Relationship Id="rId6" Type="http://schemas.openxmlformats.org/officeDocument/2006/relationships/hyperlink" Target="http://blog.givewell.org/2014/10/03/a-promising-study-on-the-long-term-effects-of-deworming/" TargetMode="External"/><Relationship Id="rId7" Type="http://schemas.openxmlformats.org/officeDocument/2006/relationships/hyperlink" Target="http://www.givewell.org/files/DWDA%202009/SCI/SCI%20treatment%20numbers%20(October%202014).xlsx" TargetMode="External"/><Relationship Id="rId8" Type="http://schemas.openxmlformats.org/officeDocument/2006/relationships/hyperlink" Target="https://docs.google.com/spreadsheets/d/1ER-tHrewjZ-JFJnI7Urg1hJBP2XwcnQ4mt_ZKvb9ZHM/edit"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www.givewell.org/node/2552" TargetMode="Externa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4.vml"/><Relationship Id="rId4" Type="http://schemas.openxmlformats.org/officeDocument/2006/relationships/comments" Target="../comments4.xml"/><Relationship Id="rId1" Type="http://schemas.openxmlformats.org/officeDocument/2006/relationships/hyperlink" Target="http://www.givewell.org/node/2202" TargetMode="External"/><Relationship Id="rId2" Type="http://schemas.openxmlformats.org/officeDocument/2006/relationships/hyperlink" Target="http://data.worldbank.org/indicator/SP.POP.0014.TO.ZS/countries/SSA?display=graph"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www.givewell.org/node/2202" TargetMode="External"/><Relationship Id="rId2" Type="http://schemas.openxmlformats.org/officeDocument/2006/relationships/vmlDrawing" Target="../drawings/vmlDrawing5.vml"/><Relationship Id="rId3" Type="http://schemas.openxmlformats.org/officeDocument/2006/relationships/comments" Target="../comments5.xml"/></Relationships>
</file>

<file path=xl/worksheets/_rels/sheet8.xml.rels><?xml version="1.0" encoding="UTF-8" standalone="yes"?>
<Relationships xmlns="http://schemas.openxmlformats.org/package/2006/relationships"><Relationship Id="rId1" Type="http://schemas.openxmlformats.org/officeDocument/2006/relationships/hyperlink" Target="http://www.givewell.org/node/2202" TargetMode="External"/><Relationship Id="rId2" Type="http://schemas.openxmlformats.org/officeDocument/2006/relationships/vmlDrawing" Target="../drawings/vmlDrawing6.vml"/><Relationship Id="rId3" Type="http://schemas.openxmlformats.org/officeDocument/2006/relationships/comments" Target="../comments6.xml"/></Relationships>
</file>

<file path=xl/worksheets/_rels/sheet9.xml.rels><?xml version="1.0" encoding="UTF-8" standalone="yes"?>
<Relationships xmlns="http://schemas.openxmlformats.org/package/2006/relationships"><Relationship Id="rId1" Type="http://schemas.openxmlformats.org/officeDocument/2006/relationships/hyperlink" Target="http://www.givewell.org/node/2202" TargetMode="External"/><Relationship Id="rId2" Type="http://schemas.openxmlformats.org/officeDocument/2006/relationships/vmlDrawing" Target="../drawings/vmlDrawing7.vml"/><Relationship Id="rId3" Type="http://schemas.openxmlformats.org/officeDocument/2006/relationships/comments" Target="../comments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15"/>
  <sheetViews>
    <sheetView workbookViewId="0"/>
  </sheetViews>
  <sheetFormatPr baseColWidth="10" defaultColWidth="8.83203125" defaultRowHeight="15" x14ac:dyDescent="0.2"/>
  <sheetData>
    <row r="1" spans="1:50" x14ac:dyDescent="0.2">
      <c r="A1" s="83" t="s">
        <v>575</v>
      </c>
      <c r="N1" s="232"/>
      <c r="AC1" s="232"/>
      <c r="AD1" s="232"/>
      <c r="AR1" s="232"/>
      <c r="AV1" s="232"/>
      <c r="AW1" s="232"/>
      <c r="AX1" s="232"/>
    </row>
    <row r="2" spans="1:50" x14ac:dyDescent="0.2">
      <c r="A2" t="s">
        <v>20</v>
      </c>
      <c r="N2" s="232"/>
      <c r="AC2" s="232"/>
      <c r="AD2" s="232"/>
      <c r="AR2" s="232"/>
      <c r="AV2" s="232"/>
      <c r="AW2" s="232"/>
      <c r="AX2" s="232"/>
    </row>
    <row r="3" spans="1:50" x14ac:dyDescent="0.2">
      <c r="A3" t="s">
        <v>64</v>
      </c>
    </row>
    <row r="4" spans="1:50" s="232" customFormat="1" x14ac:dyDescent="0.2">
      <c r="A4" s="232" t="s">
        <v>66</v>
      </c>
    </row>
    <row r="5" spans="1:50" x14ac:dyDescent="0.2">
      <c r="A5" t="s">
        <v>65</v>
      </c>
    </row>
    <row r="6" spans="1:50" s="232" customFormat="1" x14ac:dyDescent="0.2">
      <c r="A6" s="232" t="s">
        <v>10</v>
      </c>
    </row>
    <row r="7" spans="1:50" x14ac:dyDescent="0.2">
      <c r="A7" t="s">
        <v>106</v>
      </c>
      <c r="N7" s="232"/>
      <c r="AC7" s="232"/>
      <c r="AD7" s="232"/>
      <c r="AR7" s="232"/>
      <c r="AV7" s="232"/>
      <c r="AW7" s="232"/>
      <c r="AX7" s="232"/>
    </row>
    <row r="11" spans="1:50" x14ac:dyDescent="0.2">
      <c r="A11" s="83" t="s">
        <v>15</v>
      </c>
    </row>
    <row r="12" spans="1:50" x14ac:dyDescent="0.2">
      <c r="A12" s="275" t="s">
        <v>16</v>
      </c>
    </row>
    <row r="13" spans="1:50" x14ac:dyDescent="0.2">
      <c r="A13" s="275" t="s">
        <v>17</v>
      </c>
    </row>
    <row r="14" spans="1:50" x14ac:dyDescent="0.2">
      <c r="A14" s="275" t="s">
        <v>18</v>
      </c>
    </row>
    <row r="15" spans="1:50" x14ac:dyDescent="0.2">
      <c r="A15" s="275" t="s">
        <v>19</v>
      </c>
    </row>
  </sheetData>
  <phoneticPr fontId="49" type="noConversion"/>
  <hyperlinks>
    <hyperlink ref="A12" r:id="rId1"/>
    <hyperlink ref="A13" r:id="rId2"/>
    <hyperlink ref="A14" r:id="rId3"/>
    <hyperlink ref="A15" r:id="rId4" location="MoreonGiveWellsviewsoncosteffectivenessestimates"/>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B119"/>
  <sheetViews>
    <sheetView workbookViewId="0"/>
  </sheetViews>
  <sheetFormatPr baseColWidth="10" defaultColWidth="8.83203125" defaultRowHeight="11" x14ac:dyDescent="0.15"/>
  <cols>
    <col min="1" max="1" width="1.5" style="233" customWidth="1"/>
    <col min="2" max="2" width="9.5" style="233" customWidth="1"/>
    <col min="3" max="3" width="14.5" style="233" customWidth="1"/>
    <col min="4" max="4" width="5.83203125" style="233" customWidth="1"/>
    <col min="5" max="5" width="1.83203125" style="233" customWidth="1"/>
    <col min="6" max="6" width="21.5" style="233" customWidth="1"/>
    <col min="7" max="7" width="13.5" style="233" customWidth="1"/>
    <col min="8" max="8" width="1.5" style="233" customWidth="1"/>
    <col min="9" max="9" width="16.5" style="233" customWidth="1"/>
    <col min="10" max="10" width="8.5" style="233" customWidth="1"/>
    <col min="11" max="11" width="1.5" style="233" customWidth="1"/>
    <col min="12" max="12" width="22.83203125" style="233" customWidth="1"/>
    <col min="13" max="13" width="8.5" style="233" customWidth="1"/>
    <col min="14" max="14" width="0.83203125" style="233" customWidth="1"/>
    <col min="15" max="15" width="2.83203125" style="233" customWidth="1"/>
    <col min="16" max="16" width="2.5" style="233" customWidth="1"/>
    <col min="17" max="17" width="15.5" style="233" customWidth="1"/>
    <col min="18" max="18" width="30.83203125" style="233" customWidth="1"/>
    <col min="19" max="19" width="23.5" style="233" customWidth="1"/>
    <col min="20" max="20" width="1" style="233" customWidth="1"/>
    <col min="21" max="21" width="24.5" style="233" customWidth="1"/>
    <col min="22" max="23" width="12.5" style="233" customWidth="1"/>
    <col min="24" max="24" width="12.5" style="246" customWidth="1"/>
    <col min="25" max="25" width="13.5" style="233" customWidth="1"/>
    <col min="26" max="26" width="14.1640625" style="233" customWidth="1"/>
    <col min="27" max="28" width="11.5" style="233" customWidth="1"/>
    <col min="29" max="29" width="2.5" style="233" customWidth="1"/>
    <col min="30" max="30" width="28.5" style="233" customWidth="1"/>
    <col min="31" max="31" width="14.5" style="233" bestFit="1" customWidth="1"/>
    <col min="32" max="16384" width="8.83203125" style="233"/>
  </cols>
  <sheetData>
    <row r="1" spans="1:54" ht="6" customHeight="1" thickBot="1" x14ac:dyDescent="0.35">
      <c r="A1" s="274"/>
      <c r="B1" s="246"/>
      <c r="C1" s="246"/>
      <c r="D1" s="246"/>
      <c r="E1" s="246"/>
      <c r="F1" s="246"/>
      <c r="G1" s="246"/>
      <c r="H1" s="246"/>
      <c r="I1" s="246"/>
      <c r="J1" s="246"/>
      <c r="K1" s="246"/>
      <c r="L1" s="246"/>
      <c r="M1" s="246"/>
      <c r="N1" s="246"/>
      <c r="O1" s="246"/>
      <c r="P1" s="246"/>
      <c r="Q1" s="246"/>
      <c r="R1" s="254"/>
      <c r="S1" s="246"/>
      <c r="T1" s="246"/>
      <c r="U1" s="246"/>
      <c r="V1" s="246"/>
      <c r="W1" s="246"/>
      <c r="Y1" s="246"/>
      <c r="Z1" s="246"/>
      <c r="AA1" s="246"/>
      <c r="AB1" s="246"/>
      <c r="AC1" s="246"/>
      <c r="AD1" s="246"/>
      <c r="AE1" s="246"/>
      <c r="AF1" s="246"/>
      <c r="AG1" s="246"/>
      <c r="AH1" s="246"/>
      <c r="AI1" s="246"/>
      <c r="AJ1" s="246"/>
      <c r="AK1" s="246"/>
      <c r="AL1" s="246"/>
      <c r="AM1" s="246"/>
      <c r="AN1" s="246"/>
      <c r="AO1" s="246"/>
      <c r="AP1" s="246"/>
      <c r="AQ1" s="246"/>
    </row>
    <row r="2" spans="1:54" ht="15" customHeight="1" x14ac:dyDescent="0.25">
      <c r="A2" s="246"/>
      <c r="B2" s="246"/>
      <c r="C2" s="334"/>
      <c r="D2" s="249"/>
      <c r="E2" s="249"/>
      <c r="F2" s="246"/>
      <c r="G2" s="246"/>
      <c r="H2" s="246"/>
      <c r="I2" s="246"/>
      <c r="J2" s="246"/>
      <c r="K2" s="274"/>
      <c r="L2" s="386"/>
      <c r="M2" s="274"/>
      <c r="N2" s="246"/>
      <c r="O2" s="246"/>
      <c r="P2" s="246"/>
      <c r="Q2" s="246"/>
      <c r="S2" s="553" t="s">
        <v>409</v>
      </c>
      <c r="T2" s="554"/>
      <c r="U2" s="333"/>
      <c r="V2" s="333"/>
      <c r="W2" s="333"/>
      <c r="X2" s="333"/>
      <c r="Y2" s="246"/>
      <c r="Z2" s="557" t="s">
        <v>290</v>
      </c>
      <c r="AA2" s="558"/>
      <c r="AB2" s="559"/>
      <c r="AC2" s="246"/>
      <c r="AD2" s="246"/>
      <c r="AE2" s="246"/>
      <c r="AF2" s="246"/>
      <c r="AG2" s="246"/>
      <c r="AH2" s="246"/>
      <c r="AI2" s="246"/>
      <c r="AJ2" s="246"/>
      <c r="AK2" s="246"/>
      <c r="AL2" s="246"/>
      <c r="AM2" s="246"/>
      <c r="AN2" s="246"/>
      <c r="AO2" s="246"/>
      <c r="AP2" s="246"/>
      <c r="AQ2" s="246"/>
      <c r="AS2" s="232" t="s">
        <v>477</v>
      </c>
      <c r="AT2" s="232" t="s">
        <v>478</v>
      </c>
      <c r="AU2" s="232" t="s">
        <v>479</v>
      </c>
      <c r="AV2" s="232" t="s">
        <v>480</v>
      </c>
      <c r="AW2" s="232" t="s">
        <v>481</v>
      </c>
      <c r="AX2" s="232" t="s">
        <v>482</v>
      </c>
      <c r="AY2" s="232" t="s">
        <v>483</v>
      </c>
      <c r="AZ2" s="232" t="s">
        <v>432</v>
      </c>
      <c r="BA2" s="232" t="s">
        <v>485</v>
      </c>
    </row>
    <row r="3" spans="1:54" ht="19.5" customHeight="1" thickBot="1" x14ac:dyDescent="0.3">
      <c r="A3" s="246"/>
      <c r="B3" s="334"/>
      <c r="C3" s="334"/>
      <c r="D3" s="249"/>
      <c r="E3" s="249"/>
      <c r="F3" s="246"/>
      <c r="G3" s="246"/>
      <c r="H3" s="246"/>
      <c r="I3" s="246"/>
      <c r="J3" s="246"/>
      <c r="K3" s="274"/>
      <c r="L3" s="274"/>
      <c r="M3" s="274"/>
      <c r="N3" s="246"/>
      <c r="O3" s="246"/>
      <c r="P3" s="246"/>
      <c r="Q3" s="246"/>
      <c r="R3" s="333"/>
      <c r="S3" s="555"/>
      <c r="T3" s="556"/>
      <c r="U3" s="333"/>
      <c r="V3" s="333"/>
      <c r="W3" s="333"/>
      <c r="X3" s="333"/>
      <c r="Y3" s="246"/>
      <c r="Z3" s="560"/>
      <c r="AA3" s="561"/>
      <c r="AB3" s="562"/>
      <c r="AC3" s="246"/>
      <c r="AD3" s="246"/>
      <c r="AE3" s="246"/>
      <c r="AF3" s="246"/>
      <c r="AG3" s="246"/>
      <c r="AH3" s="246"/>
      <c r="AI3" s="246"/>
      <c r="AJ3" s="246"/>
      <c r="AK3" s="246"/>
      <c r="AL3" s="246"/>
      <c r="AM3" s="246"/>
      <c r="AN3" s="246"/>
      <c r="AO3" s="246"/>
      <c r="AP3" s="246"/>
      <c r="AQ3" s="246"/>
      <c r="AS3" s="232"/>
      <c r="AT3" s="232"/>
      <c r="AU3" s="232"/>
      <c r="AV3" s="232"/>
      <c r="AW3" s="232"/>
      <c r="AX3" s="232"/>
      <c r="AY3" s="232"/>
      <c r="AZ3" s="232"/>
      <c r="BA3" s="232"/>
    </row>
    <row r="4" spans="1:54" ht="40.75" customHeight="1" x14ac:dyDescent="0.2">
      <c r="A4" s="246"/>
      <c r="B4" s="563" t="s">
        <v>365</v>
      </c>
      <c r="C4" s="563"/>
      <c r="D4" s="563"/>
      <c r="E4" s="336"/>
      <c r="F4" s="565" t="s">
        <v>408</v>
      </c>
      <c r="G4" s="566"/>
      <c r="H4" s="249"/>
      <c r="I4" s="246"/>
      <c r="J4" s="246"/>
      <c r="K4" s="246"/>
      <c r="L4" s="246"/>
      <c r="M4" s="246"/>
      <c r="N4" s="277"/>
      <c r="O4" s="277"/>
      <c r="P4" s="277"/>
      <c r="Q4" s="332"/>
      <c r="R4" s="457" t="s">
        <v>393</v>
      </c>
      <c r="S4" s="457" t="s">
        <v>245</v>
      </c>
      <c r="T4" s="569" t="s">
        <v>244</v>
      </c>
      <c r="U4" s="569"/>
      <c r="V4" s="569" t="s">
        <v>395</v>
      </c>
      <c r="W4" s="570"/>
      <c r="X4" s="238"/>
      <c r="Y4" s="246"/>
      <c r="Z4" s="369" t="s">
        <v>291</v>
      </c>
      <c r="AA4" s="370"/>
      <c r="AB4" s="371"/>
      <c r="AC4" s="242"/>
      <c r="AD4" s="372" t="s">
        <v>292</v>
      </c>
      <c r="AE4" s="373"/>
      <c r="AF4" s="246"/>
      <c r="AG4" s="246"/>
      <c r="AH4" s="246"/>
      <c r="AI4" s="246"/>
      <c r="AJ4" s="246"/>
      <c r="AK4" s="246"/>
      <c r="AL4" s="246"/>
      <c r="AM4" s="246"/>
      <c r="AN4" s="246"/>
      <c r="AO4" s="246"/>
      <c r="AP4" s="246"/>
      <c r="AQ4" s="246"/>
      <c r="AS4" s="232">
        <v>0</v>
      </c>
      <c r="AT4" s="278">
        <f>Q37</f>
        <v>212.7659574468085</v>
      </c>
      <c r="AU4" s="278">
        <f>(1-$D$11)*AT4</f>
        <v>106.38297872340425</v>
      </c>
      <c r="AV4" s="278"/>
      <c r="AW4" s="232"/>
      <c r="AX4" s="232">
        <f>IF(ISNUMBER(AS5),SUM(AU4:AV4),SUM(AU4:AW4))</f>
        <v>106.38297872340425</v>
      </c>
      <c r="AY4" s="279">
        <f t="shared" ref="AY4:AY30" si="0">LN(AX4+$J$37)-LN($J$37)</f>
        <v>0.31632022465180309</v>
      </c>
      <c r="AZ4" s="232">
        <f>IF(ISNUMBER(AS4),AY4/(1+$D$7)^AS4,0)</f>
        <v>0.31632022465180309</v>
      </c>
      <c r="BA4" s="232"/>
    </row>
    <row r="5" spans="1:54" ht="10.75" customHeight="1" thickBot="1" x14ac:dyDescent="0.25">
      <c r="A5" s="246"/>
      <c r="B5" s="564"/>
      <c r="C5" s="564"/>
      <c r="D5" s="564"/>
      <c r="E5" s="335"/>
      <c r="F5" s="567"/>
      <c r="G5" s="568"/>
      <c r="H5" s="256"/>
      <c r="I5" s="256"/>
      <c r="J5" s="246"/>
      <c r="K5" s="246"/>
      <c r="L5" s="246"/>
      <c r="M5" s="246"/>
      <c r="N5" s="246"/>
      <c r="O5" s="246"/>
      <c r="P5" s="246"/>
      <c r="Q5" s="459" t="s">
        <v>411</v>
      </c>
      <c r="R5" s="458">
        <f>D37/(1+D7)^10</f>
        <v>0.16514266520246426</v>
      </c>
      <c r="S5" s="458">
        <f>R5*(1-1/(1+D7)^G16)/(1-1/(1+D7))</f>
        <v>2.9753821155847677</v>
      </c>
      <c r="T5" s="582">
        <f>S5*G11*G7*G9*G18*G8/G37</f>
        <v>9.9391953758488E-2</v>
      </c>
      <c r="U5" s="582"/>
      <c r="V5" s="572">
        <f>$G$14*$G$10</f>
        <v>4.4020450000000003E-3</v>
      </c>
      <c r="W5" s="573"/>
      <c r="X5" s="238"/>
      <c r="Y5" s="246"/>
      <c r="Z5" s="357" t="s">
        <v>121</v>
      </c>
      <c r="AA5" s="358"/>
      <c r="AB5" s="359"/>
      <c r="AC5" s="247"/>
      <c r="AD5" s="238"/>
      <c r="AE5" s="244"/>
      <c r="AF5" s="246"/>
      <c r="AG5" s="246"/>
      <c r="AH5" s="246"/>
      <c r="AI5" s="246"/>
      <c r="AJ5" s="246"/>
      <c r="AK5" s="246"/>
      <c r="AL5" s="246"/>
      <c r="AM5" s="246"/>
      <c r="AN5" s="246"/>
      <c r="AO5" s="246"/>
      <c r="AP5" s="246"/>
      <c r="AQ5" s="246"/>
      <c r="AS5" s="232">
        <f t="shared" ref="AS5:AS68" si="1">IF(AS4&lt;$D$14,AS4+1,"")</f>
        <v>1</v>
      </c>
      <c r="AT5" s="278">
        <f>AT4-AU4</f>
        <v>106.38297872340425</v>
      </c>
      <c r="AU5" s="278"/>
      <c r="AV5" s="278">
        <f t="shared" ref="AV5:AV71" si="2">$D$10*AT5</f>
        <v>20.212765957446809</v>
      </c>
      <c r="AW5" s="278">
        <f>AT5</f>
        <v>106.38297872340425</v>
      </c>
      <c r="AX5" s="232">
        <f t="shared" ref="AX5:AX14" si="3">IF(ISNUMBER(AS6),SUM(AU5:AV5),SUM(AU5:AW5))</f>
        <v>20.212765957446809</v>
      </c>
      <c r="AY5" s="279">
        <f t="shared" si="0"/>
        <v>6.8306303745020891E-2</v>
      </c>
      <c r="AZ5" s="232">
        <f t="shared" ref="AZ5:AZ71" si="4">IF(ISNUMBER(AS5),AY5/(1+$D$7)^AS5,0)</f>
        <v>6.5053622614305612E-2</v>
      </c>
      <c r="BA5" s="232">
        <f>SUM(AZ5:AZ114)</f>
        <v>1.2144393953282746</v>
      </c>
      <c r="BB5" s="233">
        <f>SUM(AZ5:AZ23)</f>
        <v>0.82550359749644986</v>
      </c>
    </row>
    <row r="6" spans="1:54" ht="15" customHeight="1" x14ac:dyDescent="0.2">
      <c r="A6" s="246"/>
      <c r="B6" s="242"/>
      <c r="C6" s="587" t="s">
        <v>540</v>
      </c>
      <c r="D6" s="587"/>
      <c r="E6" s="271"/>
      <c r="F6" s="350" t="s">
        <v>541</v>
      </c>
      <c r="G6" s="351"/>
      <c r="H6" s="272"/>
      <c r="I6" s="587" t="s">
        <v>567</v>
      </c>
      <c r="J6" s="587"/>
      <c r="K6" s="272"/>
      <c r="L6" s="588" t="s">
        <v>390</v>
      </c>
      <c r="M6" s="588"/>
      <c r="N6" s="243"/>
      <c r="O6" s="238"/>
      <c r="P6" s="246"/>
      <c r="Q6" s="459" t="s">
        <v>412</v>
      </c>
      <c r="R6" s="458">
        <f>(M15*M11)/(1+D7)^10</f>
        <v>0</v>
      </c>
      <c r="S6" s="458">
        <f>R6*(1-1/(1+D7)^G16)/(1-1/(1+D7))</f>
        <v>0</v>
      </c>
      <c r="T6" s="582">
        <f>S6*M8*M9*M14*(W37/V37)*G11</f>
        <v>0</v>
      </c>
      <c r="U6" s="582"/>
      <c r="V6" s="572">
        <v>0</v>
      </c>
      <c r="W6" s="589"/>
      <c r="X6" s="238"/>
      <c r="Y6" s="246"/>
      <c r="Z6" s="360" t="s">
        <v>570</v>
      </c>
      <c r="AA6" s="361"/>
      <c r="AB6" s="362">
        <f>$G$7*$G$8*$G$9*G$18*$J7</f>
        <v>1.8560175824175823E-2</v>
      </c>
      <c r="AC6" s="247"/>
      <c r="AD6" s="590" t="s">
        <v>123</v>
      </c>
      <c r="AE6" s="574">
        <f>G10</f>
        <v>2.5</v>
      </c>
      <c r="AF6" s="246"/>
      <c r="AG6" s="246"/>
      <c r="AH6" s="246"/>
      <c r="AI6" s="246"/>
      <c r="AJ6" s="246"/>
      <c r="AK6" s="246"/>
      <c r="AL6" s="246"/>
      <c r="AM6" s="246"/>
      <c r="AN6" s="246"/>
      <c r="AO6" s="246"/>
      <c r="AP6" s="246"/>
      <c r="AQ6" s="246"/>
      <c r="AS6" s="232">
        <f t="shared" si="1"/>
        <v>2</v>
      </c>
      <c r="AT6" s="278">
        <f t="shared" ref="AT6:AT72" si="5">IF(ISNUMBER(AS6),AW5,0)</f>
        <v>106.38297872340425</v>
      </c>
      <c r="AU6" s="278"/>
      <c r="AV6" s="278">
        <f t="shared" si="2"/>
        <v>20.212765957446809</v>
      </c>
      <c r="AW6" s="278">
        <f t="shared" ref="AW6:AW72" si="6">AT6</f>
        <v>106.38297872340425</v>
      </c>
      <c r="AX6" s="232">
        <f t="shared" si="3"/>
        <v>20.212765957446809</v>
      </c>
      <c r="AY6" s="279">
        <f t="shared" si="0"/>
        <v>6.8306303745020891E-2</v>
      </c>
      <c r="AZ6" s="232">
        <f t="shared" si="4"/>
        <v>6.1955831061243437E-2</v>
      </c>
      <c r="BA6" s="232"/>
    </row>
    <row r="7" spans="1:54" ht="20.5" customHeight="1" x14ac:dyDescent="0.2">
      <c r="A7" s="246"/>
      <c r="B7" s="576" t="s">
        <v>573</v>
      </c>
      <c r="C7" s="301" t="s">
        <v>528</v>
      </c>
      <c r="D7" s="139">
        <v>0.05</v>
      </c>
      <c r="E7" s="234"/>
      <c r="F7" s="321" t="s">
        <v>532</v>
      </c>
      <c r="G7" s="338">
        <v>0.54212454212454209</v>
      </c>
      <c r="H7" s="236"/>
      <c r="I7" s="321" t="s">
        <v>536</v>
      </c>
      <c r="J7" s="381">
        <v>0.25359999999999999</v>
      </c>
      <c r="K7" s="314"/>
      <c r="L7" s="321" t="s">
        <v>397</v>
      </c>
      <c r="M7" s="324"/>
      <c r="N7" s="244"/>
      <c r="O7" s="238"/>
      <c r="P7" s="246"/>
      <c r="Q7" s="247"/>
      <c r="R7" s="238"/>
      <c r="S7" s="238"/>
      <c r="T7" s="238"/>
      <c r="U7" s="318"/>
      <c r="V7" s="238"/>
      <c r="W7" s="244"/>
      <c r="X7" s="238"/>
      <c r="Y7" s="246"/>
      <c r="Z7" s="360" t="s">
        <v>560</v>
      </c>
      <c r="AA7" s="361"/>
      <c r="AB7" s="362">
        <f>$G$7*$G$8*$G$9*G$18*$J8</f>
        <v>1.3590157530038996E-2</v>
      </c>
      <c r="AC7" s="247"/>
      <c r="AD7" s="591"/>
      <c r="AE7" s="575"/>
      <c r="AF7" s="246"/>
      <c r="AG7" s="246"/>
      <c r="AH7" s="246"/>
      <c r="AI7" s="246"/>
      <c r="AJ7" s="246"/>
      <c r="AK7" s="246"/>
      <c r="AL7" s="246"/>
      <c r="AM7" s="246"/>
      <c r="AN7" s="246"/>
      <c r="AO7" s="246"/>
      <c r="AP7" s="246"/>
      <c r="AQ7" s="246"/>
      <c r="AS7" s="232">
        <f t="shared" si="1"/>
        <v>3</v>
      </c>
      <c r="AT7" s="278">
        <f>IF(ISNUMBER(AS7),AW6,0)</f>
        <v>106.38297872340425</v>
      </c>
      <c r="AU7" s="278"/>
      <c r="AV7" s="278">
        <f t="shared" si="2"/>
        <v>20.212765957446809</v>
      </c>
      <c r="AW7" s="278">
        <f t="shared" si="6"/>
        <v>106.38297872340425</v>
      </c>
      <c r="AX7" s="232">
        <f t="shared" si="3"/>
        <v>20.212765957446809</v>
      </c>
      <c r="AY7" s="279">
        <f t="shared" si="0"/>
        <v>6.8306303745020891E-2</v>
      </c>
      <c r="AZ7" s="232">
        <f t="shared" si="4"/>
        <v>5.9005553391660408E-2</v>
      </c>
      <c r="BA7" s="232"/>
    </row>
    <row r="8" spans="1:54" ht="25" customHeight="1" thickBot="1" x14ac:dyDescent="0.25">
      <c r="A8" s="246"/>
      <c r="B8" s="576"/>
      <c r="C8" s="294"/>
      <c r="D8" s="294"/>
      <c r="E8" s="273"/>
      <c r="F8" s="323" t="s">
        <v>534</v>
      </c>
      <c r="G8" s="245">
        <v>0.6</v>
      </c>
      <c r="H8" s="237"/>
      <c r="I8" s="312" t="s">
        <v>537</v>
      </c>
      <c r="J8" s="379">
        <v>0.18569134162665896</v>
      </c>
      <c r="K8" s="315"/>
      <c r="L8" s="312" t="s">
        <v>391</v>
      </c>
      <c r="M8" s="313"/>
      <c r="N8" s="244"/>
      <c r="O8" s="238"/>
      <c r="P8" s="246"/>
      <c r="Q8" s="577" t="s">
        <v>413</v>
      </c>
      <c r="R8" s="238"/>
      <c r="S8" s="460" t="s">
        <v>246</v>
      </c>
      <c r="T8" s="578" t="s">
        <v>562</v>
      </c>
      <c r="U8" s="578"/>
      <c r="V8" s="578" t="s">
        <v>446</v>
      </c>
      <c r="W8" s="662"/>
      <c r="X8" s="238"/>
      <c r="Y8" s="246"/>
      <c r="Z8" s="360" t="s">
        <v>566</v>
      </c>
      <c r="AA8" s="361"/>
      <c r="AB8" s="362">
        <f>$G$7*$G$8*$G$9*G$18/M18</f>
        <v>3.659340659340659E-2</v>
      </c>
      <c r="AC8" s="374"/>
      <c r="AD8" s="375" t="s">
        <v>124</v>
      </c>
      <c r="AE8" s="376">
        <f>(AE6*U37)/S5</f>
        <v>30.689335504745372</v>
      </c>
      <c r="AF8" s="246"/>
      <c r="AG8" s="246"/>
      <c r="AH8" s="246"/>
      <c r="AI8" s="246"/>
      <c r="AJ8" s="246"/>
      <c r="AK8" s="246"/>
      <c r="AL8" s="246"/>
      <c r="AM8" s="246"/>
      <c r="AN8" s="246"/>
      <c r="AO8" s="246"/>
      <c r="AP8" s="246"/>
      <c r="AQ8" s="246"/>
      <c r="AS8" s="232">
        <f t="shared" si="1"/>
        <v>4</v>
      </c>
      <c r="AT8" s="278">
        <f t="shared" si="5"/>
        <v>106.38297872340425</v>
      </c>
      <c r="AU8" s="278"/>
      <c r="AV8" s="278">
        <f t="shared" si="2"/>
        <v>20.212765957446809</v>
      </c>
      <c r="AW8" s="278">
        <f t="shared" si="6"/>
        <v>106.38297872340425</v>
      </c>
      <c r="AX8" s="232">
        <f t="shared" si="3"/>
        <v>20.212765957446809</v>
      </c>
      <c r="AY8" s="279">
        <f t="shared" si="0"/>
        <v>6.8306303745020891E-2</v>
      </c>
      <c r="AZ8" s="232">
        <f t="shared" si="4"/>
        <v>5.6195765134914685E-2</v>
      </c>
      <c r="BA8" s="232"/>
    </row>
    <row r="9" spans="1:54" ht="33" x14ac:dyDescent="0.2">
      <c r="A9" s="246"/>
      <c r="B9" s="576"/>
      <c r="C9" s="581" t="s">
        <v>542</v>
      </c>
      <c r="D9" s="581"/>
      <c r="E9" s="234"/>
      <c r="F9" s="312" t="s">
        <v>440</v>
      </c>
      <c r="G9" s="313">
        <v>0.75</v>
      </c>
      <c r="H9" s="237"/>
      <c r="I9" s="312" t="s">
        <v>386</v>
      </c>
      <c r="J9" s="379">
        <v>1.07</v>
      </c>
      <c r="K9" s="315"/>
      <c r="L9" s="312" t="s">
        <v>392</v>
      </c>
      <c r="M9" s="313"/>
      <c r="N9" s="244"/>
      <c r="O9" s="238"/>
      <c r="P9" s="246"/>
      <c r="Q9" s="577"/>
      <c r="R9" s="253" t="s">
        <v>572</v>
      </c>
      <c r="S9" s="468">
        <f>J11*($T$5*AB13*J14*J7+$V$5*(J7*$G$13))</f>
        <v>2.7438516697152558E-2</v>
      </c>
      <c r="T9" s="582">
        <f>S9/(J16/J9)</f>
        <v>3.9145617154604316E-2</v>
      </c>
      <c r="U9" s="582"/>
      <c r="V9" s="663">
        <f>($G$10*$U$37)/T9</f>
        <v>2332.6366177690934</v>
      </c>
      <c r="W9" s="664"/>
      <c r="X9" s="238"/>
      <c r="Y9" s="387"/>
      <c r="Z9" s="585" t="s">
        <v>288</v>
      </c>
      <c r="AA9" s="586"/>
      <c r="AB9" s="411">
        <v>0.05</v>
      </c>
      <c r="AC9" s="246"/>
      <c r="AD9" s="246"/>
      <c r="AE9" s="388"/>
      <c r="AF9" s="246"/>
      <c r="AG9" s="246"/>
      <c r="AH9" s="246"/>
      <c r="AI9" s="246"/>
      <c r="AJ9" s="246"/>
      <c r="AK9" s="246"/>
      <c r="AL9" s="246"/>
      <c r="AM9" s="246"/>
      <c r="AN9" s="246"/>
      <c r="AO9" s="246"/>
      <c r="AP9" s="246"/>
      <c r="AQ9" s="246"/>
      <c r="AS9" s="232">
        <f t="shared" si="1"/>
        <v>5</v>
      </c>
      <c r="AT9" s="278">
        <f t="shared" si="5"/>
        <v>106.38297872340425</v>
      </c>
      <c r="AU9" s="278"/>
      <c r="AV9" s="278">
        <f t="shared" si="2"/>
        <v>20.212765957446809</v>
      </c>
      <c r="AW9" s="278">
        <f t="shared" si="6"/>
        <v>106.38297872340425</v>
      </c>
      <c r="AX9" s="232">
        <f>IF(ISNUMBER(AS10),SUM(AU9:AV9),SUM(AU9:AW9))</f>
        <v>20.212765957446809</v>
      </c>
      <c r="AY9" s="279">
        <f t="shared" si="0"/>
        <v>6.8306303745020891E-2</v>
      </c>
      <c r="AZ9" s="232">
        <f t="shared" si="4"/>
        <v>5.3519776318966358E-2</v>
      </c>
      <c r="BA9" s="232"/>
    </row>
    <row r="10" spans="1:54" ht="39.75" customHeight="1" x14ac:dyDescent="0.2">
      <c r="A10" s="246"/>
      <c r="B10" s="576"/>
      <c r="C10" s="291" t="s">
        <v>531</v>
      </c>
      <c r="D10" s="292">
        <v>0.19</v>
      </c>
      <c r="E10" s="284"/>
      <c r="F10" s="312" t="s">
        <v>231</v>
      </c>
      <c r="G10" s="503">
        <v>2.5</v>
      </c>
      <c r="H10" s="285"/>
      <c r="I10" s="312" t="s">
        <v>387</v>
      </c>
      <c r="J10" s="379">
        <v>1</v>
      </c>
      <c r="K10" s="315"/>
      <c r="L10" s="312" t="s">
        <v>406</v>
      </c>
      <c r="M10" s="313"/>
      <c r="N10" s="244"/>
      <c r="O10" s="238"/>
      <c r="P10" s="246"/>
      <c r="Q10" s="577"/>
      <c r="R10" s="253" t="s">
        <v>14</v>
      </c>
      <c r="S10" s="468">
        <f>J18*($T$5*AB14*J15*J8+$V$5*(J8*$G$13))</f>
        <v>1.5477012214133216E-2</v>
      </c>
      <c r="T10" s="582">
        <f>S10/(J17/J10)</f>
        <v>1.7060198648735907E-2</v>
      </c>
      <c r="U10" s="582"/>
      <c r="V10" s="663">
        <f>($G$10*$U$37)/T10</f>
        <v>5352.3702671988467</v>
      </c>
      <c r="W10" s="664"/>
      <c r="X10" s="238"/>
      <c r="Y10" s="246"/>
      <c r="Z10" s="592" t="s">
        <v>289</v>
      </c>
      <c r="AA10" s="593"/>
      <c r="AB10" s="377" t="s">
        <v>287</v>
      </c>
      <c r="AC10" s="246"/>
      <c r="AD10" s="387"/>
      <c r="AE10" s="388"/>
      <c r="AF10" s="246"/>
      <c r="AG10" s="246"/>
      <c r="AH10" s="246"/>
      <c r="AI10" s="246"/>
      <c r="AJ10" s="246"/>
      <c r="AK10" s="246"/>
      <c r="AL10" s="246"/>
      <c r="AM10" s="246"/>
      <c r="AN10" s="246"/>
      <c r="AO10" s="246"/>
      <c r="AP10" s="246"/>
      <c r="AQ10" s="246"/>
      <c r="AS10" s="232">
        <f t="shared" si="1"/>
        <v>6</v>
      </c>
      <c r="AT10" s="278">
        <f>IF(ISNUMBER(AS10),AW9,0)</f>
        <v>106.38297872340425</v>
      </c>
      <c r="AU10" s="278"/>
      <c r="AV10" s="278">
        <f t="shared" si="2"/>
        <v>20.212765957446809</v>
      </c>
      <c r="AW10" s="278">
        <f t="shared" si="6"/>
        <v>106.38297872340425</v>
      </c>
      <c r="AX10" s="232">
        <f>IF(ISNUMBER(AS11),SUM(AU10:AV10),SUM(AU10:AW10))</f>
        <v>20.212765957446809</v>
      </c>
      <c r="AY10" s="279">
        <f t="shared" si="0"/>
        <v>6.8306303745020891E-2</v>
      </c>
      <c r="AZ10" s="232">
        <f t="shared" si="4"/>
        <v>5.0971215541872728E-2</v>
      </c>
      <c r="BA10" s="232"/>
    </row>
    <row r="11" spans="1:54" ht="33" customHeight="1" x14ac:dyDescent="0.2">
      <c r="A11" s="246"/>
      <c r="B11" s="576"/>
      <c r="C11" s="298" t="s">
        <v>533</v>
      </c>
      <c r="D11" s="299">
        <v>0.5</v>
      </c>
      <c r="E11" s="235"/>
      <c r="F11" s="312" t="s">
        <v>241</v>
      </c>
      <c r="G11" s="503">
        <v>1.1000000000000001</v>
      </c>
      <c r="H11" s="238"/>
      <c r="I11" s="312" t="s">
        <v>230</v>
      </c>
      <c r="J11" s="379">
        <v>1</v>
      </c>
      <c r="K11" s="315"/>
      <c r="L11" s="312" t="s">
        <v>405</v>
      </c>
      <c r="M11" s="313"/>
      <c r="N11" s="244"/>
      <c r="O11" s="246"/>
      <c r="P11" s="246"/>
      <c r="Q11" s="577"/>
      <c r="R11" s="253" t="s">
        <v>566</v>
      </c>
      <c r="S11" s="468" t="s">
        <v>120</v>
      </c>
      <c r="T11" s="582">
        <f>(1/S37)*(1/M18)*T5*AB15+(1/R37)*U37*G10</f>
        <v>4.5933448348532843E-2</v>
      </c>
      <c r="U11" s="582">
        <f>(1/S37)*(1/M18)*T5+1/R37*(G10*S5)</f>
        <v>1.6382260524536792E-2</v>
      </c>
      <c r="V11" s="663">
        <f>($G$10*$U$37)/T11</f>
        <v>1987.9304359459575</v>
      </c>
      <c r="W11" s="664"/>
      <c r="X11" s="238"/>
      <c r="Y11" s="246"/>
      <c r="Z11" s="247"/>
      <c r="AA11" s="238"/>
      <c r="AB11" s="244"/>
      <c r="AC11" s="246"/>
      <c r="AD11" s="246"/>
      <c r="AE11" s="246"/>
      <c r="AF11" s="246"/>
      <c r="AG11" s="246"/>
      <c r="AH11" s="246"/>
      <c r="AI11" s="246"/>
      <c r="AJ11" s="246"/>
      <c r="AK11" s="246"/>
      <c r="AL11" s="246"/>
      <c r="AM11" s="246"/>
      <c r="AN11" s="246"/>
      <c r="AO11" s="246"/>
      <c r="AP11" s="246"/>
      <c r="AQ11" s="246"/>
      <c r="AS11" s="232">
        <f t="shared" si="1"/>
        <v>7</v>
      </c>
      <c r="AT11" s="278">
        <f>IF(ISNUMBER(AS11),AW10,0)</f>
        <v>106.38297872340425</v>
      </c>
      <c r="AU11" s="278"/>
      <c r="AV11" s="278">
        <f t="shared" si="2"/>
        <v>20.212765957446809</v>
      </c>
      <c r="AW11" s="278">
        <f t="shared" si="6"/>
        <v>106.38297872340425</v>
      </c>
      <c r="AX11" s="232">
        <f>IF(ISNUMBER(AS12),SUM(AU11:AV11),SUM(AU11:AW11))</f>
        <v>20.212765957446809</v>
      </c>
      <c r="AY11" s="279">
        <f t="shared" si="0"/>
        <v>6.8306303745020891E-2</v>
      </c>
      <c r="AZ11" s="232">
        <f t="shared" si="4"/>
        <v>4.8544014801783546E-2</v>
      </c>
      <c r="BA11" s="232"/>
    </row>
    <row r="12" spans="1:54" ht="22.75" customHeight="1" thickBot="1" x14ac:dyDescent="0.25">
      <c r="A12" s="246"/>
      <c r="B12" s="247"/>
      <c r="C12" s="241"/>
      <c r="D12" s="240"/>
      <c r="E12" s="234"/>
      <c r="F12" s="390"/>
      <c r="G12" s="391"/>
      <c r="H12" s="241"/>
      <c r="I12" s="241"/>
      <c r="J12" s="380"/>
      <c r="K12" s="238"/>
      <c r="L12" s="312" t="s">
        <v>399</v>
      </c>
      <c r="M12" s="313"/>
      <c r="N12" s="244"/>
      <c r="O12" s="238"/>
      <c r="P12" s="246"/>
      <c r="Q12" s="293"/>
      <c r="R12" s="253" t="s">
        <v>396</v>
      </c>
      <c r="S12" s="468">
        <f>T6*M12</f>
        <v>0</v>
      </c>
      <c r="T12" s="582" t="e">
        <f>M13*S12/(M7/M10)</f>
        <v>#DIV/0!</v>
      </c>
      <c r="U12" s="582"/>
      <c r="V12" s="594" t="s">
        <v>120</v>
      </c>
      <c r="W12" s="595"/>
      <c r="X12" s="238"/>
      <c r="Y12" s="246"/>
      <c r="Z12" s="363" t="s">
        <v>286</v>
      </c>
      <c r="AA12" s="358"/>
      <c r="AB12" s="364"/>
      <c r="AC12" s="246"/>
      <c r="AD12" s="246"/>
      <c r="AE12" s="246"/>
      <c r="AF12" s="246"/>
      <c r="AG12" s="246"/>
      <c r="AH12" s="246"/>
      <c r="AI12" s="246"/>
      <c r="AJ12" s="246"/>
      <c r="AK12" s="246"/>
      <c r="AL12" s="246"/>
      <c r="AM12" s="246"/>
      <c r="AN12" s="246"/>
      <c r="AO12" s="246"/>
      <c r="AP12" s="246"/>
      <c r="AQ12" s="246"/>
      <c r="AS12" s="232">
        <f t="shared" si="1"/>
        <v>8</v>
      </c>
      <c r="AT12" s="278">
        <f>IF(ISNUMBER(AS12),AW11,0)</f>
        <v>106.38297872340425</v>
      </c>
      <c r="AU12" s="278"/>
      <c r="AV12" s="278">
        <f t="shared" si="2"/>
        <v>20.212765957446809</v>
      </c>
      <c r="AW12" s="278">
        <f t="shared" si="6"/>
        <v>106.38297872340425</v>
      </c>
      <c r="AX12" s="232">
        <f>IF(ISNUMBER(AS13),SUM(AU12:AV12),SUM(AU12:AW12))</f>
        <v>20.212765957446809</v>
      </c>
      <c r="AY12" s="279">
        <f t="shared" si="0"/>
        <v>6.8306303745020891E-2</v>
      </c>
      <c r="AZ12" s="232">
        <f t="shared" si="4"/>
        <v>4.6232395049317664E-2</v>
      </c>
      <c r="BA12" s="232"/>
    </row>
    <row r="13" spans="1:54" ht="30.75" customHeight="1" x14ac:dyDescent="0.2">
      <c r="A13" s="246"/>
      <c r="B13" s="247"/>
      <c r="C13" s="241"/>
      <c r="D13" s="240"/>
      <c r="E13" s="234"/>
      <c r="F13" s="461" t="s">
        <v>217</v>
      </c>
      <c r="G13" s="507">
        <v>2</v>
      </c>
      <c r="H13" s="238"/>
      <c r="I13" s="241"/>
      <c r="J13" s="380"/>
      <c r="K13" s="238"/>
      <c r="L13" s="312" t="s">
        <v>398</v>
      </c>
      <c r="M13" s="313"/>
      <c r="N13" s="244"/>
      <c r="O13" s="238"/>
      <c r="P13" s="246"/>
      <c r="Q13" s="596" t="s">
        <v>122</v>
      </c>
      <c r="R13" s="457" t="s">
        <v>442</v>
      </c>
      <c r="S13" s="457" t="s">
        <v>563</v>
      </c>
      <c r="T13" s="569" t="s">
        <v>564</v>
      </c>
      <c r="U13" s="569"/>
      <c r="V13" s="569" t="s">
        <v>562</v>
      </c>
      <c r="W13" s="570"/>
      <c r="X13" s="238"/>
      <c r="Y13" s="246"/>
      <c r="Z13" s="360" t="s">
        <v>570</v>
      </c>
      <c r="AA13" s="361"/>
      <c r="AB13" s="365">
        <f>IF($AB$10="Yes",MAX(AB6,$AB$9),AB6)/AB6</f>
        <v>1</v>
      </c>
      <c r="AC13" s="246"/>
      <c r="AD13" s="246"/>
      <c r="AE13" s="246"/>
      <c r="AF13" s="246"/>
      <c r="AG13" s="246"/>
      <c r="AH13" s="246"/>
      <c r="AI13" s="246"/>
      <c r="AJ13" s="246"/>
      <c r="AK13" s="246"/>
      <c r="AL13" s="246"/>
      <c r="AM13" s="246"/>
      <c r="AN13" s="246"/>
      <c r="AO13" s="246"/>
      <c r="AP13" s="246"/>
      <c r="AQ13" s="246"/>
      <c r="AS13" s="232">
        <f t="shared" si="1"/>
        <v>9</v>
      </c>
      <c r="AT13" s="278">
        <f>IF(ISNUMBER(AS13),AW12,0)</f>
        <v>106.38297872340425</v>
      </c>
      <c r="AU13" s="278"/>
      <c r="AV13" s="278">
        <f t="shared" si="2"/>
        <v>20.212765957446809</v>
      </c>
      <c r="AW13" s="278">
        <f t="shared" si="6"/>
        <v>106.38297872340425</v>
      </c>
      <c r="AX13" s="232">
        <f t="shared" si="3"/>
        <v>20.212765957446809</v>
      </c>
      <c r="AY13" s="279">
        <f t="shared" si="0"/>
        <v>6.8306303745020891E-2</v>
      </c>
      <c r="AZ13" s="232">
        <f t="shared" si="4"/>
        <v>4.4030852427921582E-2</v>
      </c>
      <c r="BA13" s="232"/>
    </row>
    <row r="14" spans="1:54" ht="21" customHeight="1" thickBot="1" x14ac:dyDescent="0.25">
      <c r="A14" s="246"/>
      <c r="B14" s="597" t="s">
        <v>366</v>
      </c>
      <c r="C14" s="598" t="s">
        <v>529</v>
      </c>
      <c r="D14" s="600">
        <v>40</v>
      </c>
      <c r="E14" s="235"/>
      <c r="F14" s="598" t="s">
        <v>530</v>
      </c>
      <c r="G14" s="600">
        <v>1.7608179999999999E-3</v>
      </c>
      <c r="H14" s="238"/>
      <c r="I14" s="300" t="s">
        <v>539</v>
      </c>
      <c r="J14" s="382">
        <v>1</v>
      </c>
      <c r="K14" s="316"/>
      <c r="L14" s="312" t="s">
        <v>400</v>
      </c>
      <c r="M14" s="313"/>
      <c r="N14" s="244"/>
      <c r="O14" s="238"/>
      <c r="P14" s="246"/>
      <c r="Q14" s="577"/>
      <c r="R14" s="462">
        <f>BA5</f>
        <v>1.2144393953282746</v>
      </c>
      <c r="S14" s="462">
        <f>AZ4</f>
        <v>0.31632022465180309</v>
      </c>
      <c r="T14" s="602">
        <f>R14+S14</f>
        <v>1.5307596199800777</v>
      </c>
      <c r="U14" s="602"/>
      <c r="V14" s="582">
        <f>T14/(Natalie!Q37/Natalie!D16)</f>
        <v>6.0794118307508785E-3</v>
      </c>
      <c r="W14" s="603"/>
      <c r="X14" s="238"/>
      <c r="Y14" s="387"/>
      <c r="Z14" s="360" t="s">
        <v>560</v>
      </c>
      <c r="AA14" s="361"/>
      <c r="AB14" s="365">
        <f>IF($AB$10="Yes",MAX(AB7,$AB$9),AB7)/AB7</f>
        <v>1</v>
      </c>
      <c r="AC14" s="246"/>
      <c r="AD14" s="246"/>
      <c r="AE14" s="246"/>
      <c r="AF14" s="246"/>
      <c r="AG14" s="246"/>
      <c r="AH14" s="246"/>
      <c r="AI14" s="246"/>
      <c r="AJ14" s="246"/>
      <c r="AK14" s="246"/>
      <c r="AL14" s="246"/>
      <c r="AM14" s="246"/>
      <c r="AN14" s="246"/>
      <c r="AO14" s="246"/>
      <c r="AP14" s="246"/>
      <c r="AQ14" s="246"/>
      <c r="AS14" s="232">
        <f t="shared" si="1"/>
        <v>10</v>
      </c>
      <c r="AT14" s="278">
        <f t="shared" si="5"/>
        <v>106.38297872340425</v>
      </c>
      <c r="AU14" s="278"/>
      <c r="AV14" s="278">
        <f t="shared" si="2"/>
        <v>20.212765957446809</v>
      </c>
      <c r="AW14" s="278">
        <f t="shared" si="6"/>
        <v>106.38297872340425</v>
      </c>
      <c r="AX14" s="232">
        <f t="shared" si="3"/>
        <v>20.212765957446809</v>
      </c>
      <c r="AY14" s="279">
        <f t="shared" si="0"/>
        <v>6.8306303745020891E-2</v>
      </c>
      <c r="AZ14" s="232">
        <f t="shared" si="4"/>
        <v>4.1934145169449127E-2</v>
      </c>
      <c r="BA14" s="232"/>
    </row>
    <row r="15" spans="1:54" ht="21" customHeight="1" thickBot="1" x14ac:dyDescent="0.25">
      <c r="A15" s="246"/>
      <c r="B15" s="597"/>
      <c r="C15" s="599"/>
      <c r="D15" s="601"/>
      <c r="E15" s="235"/>
      <c r="F15" s="599"/>
      <c r="G15" s="601"/>
      <c r="H15" s="238"/>
      <c r="I15" s="300" t="s">
        <v>538</v>
      </c>
      <c r="J15" s="383">
        <v>0.75</v>
      </c>
      <c r="K15" s="316"/>
      <c r="L15" s="322" t="s">
        <v>403</v>
      </c>
      <c r="M15" s="337"/>
      <c r="N15" s="244"/>
      <c r="O15" s="238"/>
      <c r="P15" s="246"/>
      <c r="Q15" s="463" t="s">
        <v>129</v>
      </c>
      <c r="R15" s="415"/>
      <c r="S15" s="465" t="s">
        <v>561</v>
      </c>
      <c r="T15" s="604" t="s">
        <v>560</v>
      </c>
      <c r="U15" s="605"/>
      <c r="V15" s="465" t="s">
        <v>566</v>
      </c>
      <c r="W15" s="430" t="s">
        <v>576</v>
      </c>
      <c r="X15" s="238"/>
      <c r="Y15" s="387"/>
      <c r="Z15" s="366" t="s">
        <v>566</v>
      </c>
      <c r="AA15" s="367"/>
      <c r="AB15" s="368">
        <f>IF($AB$10="Yes",MAX(AB8,$AB$9),AB8)/AB8</f>
        <v>1</v>
      </c>
      <c r="AC15" s="246"/>
      <c r="AD15" s="246"/>
      <c r="AE15" s="246"/>
      <c r="AF15" s="246"/>
      <c r="AG15" s="246"/>
      <c r="AH15" s="246"/>
      <c r="AI15" s="246"/>
      <c r="AJ15" s="246"/>
      <c r="AK15" s="246"/>
      <c r="AL15" s="246"/>
      <c r="AM15" s="246"/>
      <c r="AN15" s="246"/>
      <c r="AO15" s="246"/>
      <c r="AP15" s="246"/>
      <c r="AQ15" s="246"/>
      <c r="AS15" s="232">
        <f t="shared" si="1"/>
        <v>11</v>
      </c>
      <c r="AT15" s="278">
        <f t="shared" si="5"/>
        <v>106.38297872340425</v>
      </c>
      <c r="AU15" s="278"/>
      <c r="AV15" s="278">
        <f t="shared" si="2"/>
        <v>20.212765957446809</v>
      </c>
      <c r="AW15" s="278">
        <f t="shared" si="6"/>
        <v>106.38297872340425</v>
      </c>
      <c r="AX15" s="232">
        <f>IF(ISNUMBER(AS16),SUM(AU15:AV15),SUM(AU15:AW15))</f>
        <v>20.212765957446809</v>
      </c>
      <c r="AY15" s="279">
        <f t="shared" si="0"/>
        <v>6.8306303745020891E-2</v>
      </c>
      <c r="AZ15" s="232">
        <f t="shared" si="4"/>
        <v>3.9937281113761068E-2</v>
      </c>
      <c r="BA15" s="232"/>
    </row>
    <row r="16" spans="1:54" ht="21" customHeight="1" x14ac:dyDescent="0.2">
      <c r="A16" s="246"/>
      <c r="B16" s="597"/>
      <c r="C16" s="606" t="s">
        <v>547</v>
      </c>
      <c r="D16" s="608">
        <v>0.84499999999999997</v>
      </c>
      <c r="E16" s="235"/>
      <c r="F16" s="606" t="s">
        <v>345</v>
      </c>
      <c r="G16" s="610">
        <v>40</v>
      </c>
      <c r="H16" s="238"/>
      <c r="I16" s="296" t="s">
        <v>556</v>
      </c>
      <c r="J16" s="384">
        <v>0.75</v>
      </c>
      <c r="K16" s="317"/>
      <c r="L16" s="238"/>
      <c r="M16" s="238"/>
      <c r="N16" s="244"/>
      <c r="O16" s="238"/>
      <c r="P16" s="246"/>
      <c r="Q16" s="459"/>
      <c r="R16" s="413" t="s">
        <v>126</v>
      </c>
      <c r="S16" s="490">
        <f>$T9/$T$9</f>
        <v>1</v>
      </c>
      <c r="T16" s="612">
        <f>$T9/$T$10</f>
        <v>2.2945581092342584</v>
      </c>
      <c r="U16" s="613"/>
      <c r="V16" s="490">
        <f>$T9/$T$11</f>
        <v>0.8522246546258847</v>
      </c>
      <c r="W16" s="491">
        <f>$T9/$V$14</f>
        <v>6.4390467769592394</v>
      </c>
      <c r="X16" s="238"/>
      <c r="Y16" s="387"/>
      <c r="Z16" s="246"/>
      <c r="AA16" s="246"/>
      <c r="AB16" s="246"/>
      <c r="AC16" s="246"/>
      <c r="AD16" s="246"/>
      <c r="AE16" s="246"/>
      <c r="AF16" s="246"/>
      <c r="AG16" s="246"/>
      <c r="AH16" s="246"/>
      <c r="AI16" s="246"/>
      <c r="AJ16" s="246"/>
      <c r="AK16" s="246"/>
      <c r="AL16" s="246"/>
      <c r="AM16" s="246"/>
      <c r="AN16" s="246"/>
      <c r="AO16" s="246"/>
      <c r="AP16" s="246"/>
      <c r="AQ16" s="246"/>
      <c r="AS16" s="232">
        <f t="shared" si="1"/>
        <v>12</v>
      </c>
      <c r="AT16" s="278">
        <f t="shared" si="5"/>
        <v>106.38297872340425</v>
      </c>
      <c r="AU16" s="278"/>
      <c r="AV16" s="278">
        <f t="shared" si="2"/>
        <v>20.212765957446809</v>
      </c>
      <c r="AW16" s="278">
        <f t="shared" si="6"/>
        <v>106.38297872340425</v>
      </c>
      <c r="AX16" s="232">
        <f t="shared" ref="AX16:AX81" si="7">IF(ISNUMBER(AS17),SUM(AU16:AV16),SUM(AU16:AW16))</f>
        <v>20.212765957446809</v>
      </c>
      <c r="AY16" s="279">
        <f t="shared" si="0"/>
        <v>6.8306303745020891E-2</v>
      </c>
      <c r="AZ16" s="232">
        <f t="shared" si="4"/>
        <v>3.8035505822629601E-2</v>
      </c>
      <c r="BA16" s="232"/>
    </row>
    <row r="17" spans="1:54" ht="31.75" customHeight="1" x14ac:dyDescent="0.2">
      <c r="A17" s="246"/>
      <c r="B17" s="597"/>
      <c r="C17" s="607"/>
      <c r="D17" s="609"/>
      <c r="E17" s="235"/>
      <c r="F17" s="599"/>
      <c r="G17" s="611"/>
      <c r="H17" s="238"/>
      <c r="I17" s="297" t="s">
        <v>535</v>
      </c>
      <c r="J17" s="385">
        <v>0.90720000000000001</v>
      </c>
      <c r="K17" s="317"/>
      <c r="L17" s="614" t="s">
        <v>566</v>
      </c>
      <c r="M17" s="614"/>
      <c r="N17" s="244"/>
      <c r="O17" s="238"/>
      <c r="P17" s="246"/>
      <c r="Q17" s="459"/>
      <c r="R17" s="413" t="s">
        <v>127</v>
      </c>
      <c r="S17" s="490">
        <f>$T10/$T$9</f>
        <v>0.43581376125345578</v>
      </c>
      <c r="T17" s="612">
        <f>$T10/$T$10</f>
        <v>1</v>
      </c>
      <c r="U17" s="613"/>
      <c r="V17" s="490">
        <f>$T10/$T$11</f>
        <v>0.37141123216543409</v>
      </c>
      <c r="W17" s="491">
        <f>$T10/$V$14</f>
        <v>2.8062251947535479</v>
      </c>
      <c r="X17" s="238"/>
      <c r="Y17" s="387"/>
      <c r="Z17" s="246"/>
      <c r="AA17" s="246"/>
      <c r="AB17" s="246"/>
      <c r="AC17" s="246"/>
      <c r="AD17" s="246"/>
      <c r="AE17" s="246"/>
      <c r="AF17" s="246"/>
      <c r="AG17" s="246"/>
      <c r="AH17" s="246"/>
      <c r="AI17" s="246"/>
      <c r="AJ17" s="246"/>
      <c r="AK17" s="246"/>
      <c r="AL17" s="246"/>
      <c r="AM17" s="246"/>
      <c r="AN17" s="246"/>
      <c r="AO17" s="246"/>
      <c r="AP17" s="246"/>
      <c r="AQ17" s="246"/>
      <c r="AS17" s="232">
        <f>IF(AS16&lt;$D$14,AS16+1,"")</f>
        <v>13</v>
      </c>
      <c r="AT17" s="278">
        <f>IF(ISNUMBER(AS17),AW16,0)</f>
        <v>106.38297872340425</v>
      </c>
      <c r="AU17" s="278"/>
      <c r="AV17" s="278">
        <f t="shared" si="2"/>
        <v>20.212765957446809</v>
      </c>
      <c r="AW17" s="278">
        <f t="shared" si="6"/>
        <v>106.38297872340425</v>
      </c>
      <c r="AX17" s="232">
        <f>IF(ISNUMBER(AS18),SUM(AU17:AV17),SUM(AU17:AW17))</f>
        <v>20.212765957446809</v>
      </c>
      <c r="AY17" s="279">
        <f t="shared" si="0"/>
        <v>6.8306303745020891E-2</v>
      </c>
      <c r="AZ17" s="232">
        <f t="shared" si="4"/>
        <v>3.6224291259647226E-2</v>
      </c>
      <c r="BA17" s="232"/>
    </row>
    <row r="18" spans="1:54" ht="30.75" customHeight="1" x14ac:dyDescent="0.2">
      <c r="A18" s="246"/>
      <c r="B18" s="597"/>
      <c r="C18" s="238"/>
      <c r="D18" s="238"/>
      <c r="E18" s="235"/>
      <c r="F18" s="310" t="s">
        <v>372</v>
      </c>
      <c r="G18" s="308">
        <v>0.3</v>
      </c>
      <c r="H18" s="238"/>
      <c r="I18" s="307" t="s">
        <v>229</v>
      </c>
      <c r="J18" s="306">
        <v>1</v>
      </c>
      <c r="K18" s="316"/>
      <c r="L18" s="312" t="s">
        <v>78</v>
      </c>
      <c r="M18" s="137">
        <v>2</v>
      </c>
      <c r="N18" s="244"/>
      <c r="O18" s="238"/>
      <c r="P18" s="238"/>
      <c r="Q18" s="459"/>
      <c r="R18" s="413" t="s">
        <v>128</v>
      </c>
      <c r="S18" s="490">
        <f>$T11/$T$9</f>
        <v>1.1733995192136124</v>
      </c>
      <c r="T18" s="612">
        <f>$T11/$T$10</f>
        <v>2.6924333821831747</v>
      </c>
      <c r="U18" s="613"/>
      <c r="V18" s="490">
        <f>$T11/$T$11</f>
        <v>1</v>
      </c>
      <c r="W18" s="491">
        <f>$T11/$V$14</f>
        <v>7.5555743922779328</v>
      </c>
      <c r="X18" s="238"/>
      <c r="Y18" s="246"/>
      <c r="Z18" s="246"/>
      <c r="AA18" s="246"/>
      <c r="AB18" s="246"/>
      <c r="AC18" s="246"/>
      <c r="AD18" s="246"/>
      <c r="AE18" s="246"/>
      <c r="AF18" s="246"/>
      <c r="AG18" s="246"/>
      <c r="AH18" s="246"/>
      <c r="AI18" s="246"/>
      <c r="AJ18" s="246"/>
      <c r="AK18" s="246"/>
      <c r="AL18" s="246"/>
      <c r="AM18" s="246"/>
      <c r="AN18" s="246"/>
      <c r="AO18" s="246"/>
      <c r="AP18" s="246"/>
      <c r="AQ18" s="246"/>
      <c r="AS18" s="232">
        <f>IF(AS17&lt;$D$14,AS17+1,"")</f>
        <v>14</v>
      </c>
      <c r="AT18" s="278">
        <f>IF(ISNUMBER(AS18),AW17,0)</f>
        <v>106.38297872340425</v>
      </c>
      <c r="AU18" s="278"/>
      <c r="AV18" s="278">
        <f t="shared" si="2"/>
        <v>20.212765957446809</v>
      </c>
      <c r="AW18" s="278">
        <f t="shared" si="6"/>
        <v>106.38297872340425</v>
      </c>
      <c r="AX18" s="232">
        <f>IF(ISNUMBER(AS19),SUM(AU18:AV18),SUM(AU18:AW18))</f>
        <v>20.212765957446809</v>
      </c>
      <c r="AY18" s="279">
        <f t="shared" si="0"/>
        <v>6.8306303745020891E-2</v>
      </c>
      <c r="AZ18" s="232">
        <f t="shared" si="4"/>
        <v>3.4499325009187842E-2</v>
      </c>
      <c r="BA18" s="232"/>
    </row>
    <row r="19" spans="1:54" ht="21" customHeight="1" thickBot="1" x14ac:dyDescent="0.25">
      <c r="A19" s="246"/>
      <c r="B19" s="302"/>
      <c r="C19" s="239"/>
      <c r="D19" s="239"/>
      <c r="E19" s="239"/>
      <c r="F19" s="303"/>
      <c r="G19" s="304"/>
      <c r="H19" s="239"/>
      <c r="I19" s="239"/>
      <c r="J19" s="239"/>
      <c r="K19" s="239"/>
      <c r="L19" s="319"/>
      <c r="M19" s="239"/>
      <c r="N19" s="305"/>
      <c r="O19" s="238"/>
      <c r="P19" s="246"/>
      <c r="Q19" s="469"/>
      <c r="R19" s="414" t="s">
        <v>130</v>
      </c>
      <c r="S19" s="492">
        <f>$V14/$T$9</f>
        <v>0.15530249035902138</v>
      </c>
      <c r="T19" s="615">
        <f>$V14/$T$10</f>
        <v>0.35635058863756774</v>
      </c>
      <c r="U19" s="616"/>
      <c r="V19" s="492">
        <f>$V14/$T$11</f>
        <v>0.13235261120875677</v>
      </c>
      <c r="W19" s="493">
        <f>$V14/$V$14</f>
        <v>1</v>
      </c>
      <c r="X19" s="238"/>
      <c r="Y19" s="246"/>
      <c r="Z19" s="246"/>
      <c r="AA19" s="246"/>
      <c r="AB19" s="246"/>
      <c r="AC19" s="246"/>
      <c r="AD19" s="246"/>
      <c r="AE19" s="246"/>
      <c r="AF19" s="246"/>
      <c r="AG19" s="246"/>
      <c r="AH19" s="246"/>
      <c r="AI19" s="246"/>
      <c r="AJ19" s="246"/>
      <c r="AK19" s="246"/>
      <c r="AL19" s="246"/>
      <c r="AM19" s="246"/>
      <c r="AN19" s="246"/>
      <c r="AO19" s="246"/>
      <c r="AP19" s="246"/>
      <c r="AQ19" s="246"/>
      <c r="AS19" s="232">
        <f>IF(AS18&lt;$D$14,AS18+1,"")</f>
        <v>15</v>
      </c>
      <c r="AT19" s="278">
        <f>IF(ISNUMBER(AS19),AW18,0)</f>
        <v>106.38297872340425</v>
      </c>
      <c r="AU19" s="278"/>
      <c r="AV19" s="278">
        <f t="shared" si="2"/>
        <v>20.212765957446809</v>
      </c>
      <c r="AW19" s="278">
        <f t="shared" si="6"/>
        <v>106.38297872340425</v>
      </c>
      <c r="AX19" s="232">
        <f t="shared" si="7"/>
        <v>20.212765957446809</v>
      </c>
      <c r="AY19" s="279">
        <f t="shared" si="0"/>
        <v>6.8306303745020891E-2</v>
      </c>
      <c r="AZ19" s="232">
        <f t="shared" si="4"/>
        <v>3.2856500008750317E-2</v>
      </c>
      <c r="BA19" s="232"/>
    </row>
    <row r="20" spans="1:54" ht="9.75" customHeight="1" thickBot="1" x14ac:dyDescent="0.25">
      <c r="A20" s="246"/>
      <c r="B20" s="246"/>
      <c r="C20" s="246"/>
      <c r="D20" s="246"/>
      <c r="E20" s="246"/>
      <c r="F20" s="246"/>
      <c r="G20" s="246"/>
      <c r="H20" s="246"/>
      <c r="I20" s="246"/>
      <c r="J20" s="246"/>
      <c r="K20" s="246"/>
      <c r="L20" s="246"/>
      <c r="M20" s="246"/>
      <c r="N20" s="246"/>
      <c r="O20" s="246"/>
      <c r="P20" s="246"/>
      <c r="Q20" s="238"/>
      <c r="R20" s="238"/>
      <c r="S20" s="238"/>
      <c r="T20" s="238"/>
      <c r="U20" s="238"/>
      <c r="V20" s="238"/>
      <c r="W20" s="238"/>
      <c r="Y20" s="246"/>
      <c r="Z20" s="246"/>
      <c r="AA20" s="246"/>
      <c r="AB20" s="246"/>
      <c r="AC20" s="246"/>
      <c r="AD20" s="246"/>
      <c r="AE20" s="246"/>
      <c r="AF20" s="246"/>
      <c r="AG20" s="246"/>
      <c r="AH20" s="246"/>
      <c r="AI20" s="246"/>
      <c r="AJ20" s="246"/>
      <c r="AK20" s="246"/>
      <c r="AL20" s="246"/>
      <c r="AM20" s="246"/>
      <c r="AN20" s="246"/>
      <c r="AO20" s="246"/>
      <c r="AP20" s="246"/>
      <c r="AQ20" s="246"/>
      <c r="AS20" s="232">
        <f t="shared" si="1"/>
        <v>16</v>
      </c>
      <c r="AT20" s="278">
        <f t="shared" si="5"/>
        <v>106.38297872340425</v>
      </c>
      <c r="AU20" s="278"/>
      <c r="AV20" s="278">
        <f t="shared" si="2"/>
        <v>20.212765957446809</v>
      </c>
      <c r="AW20" s="278">
        <f t="shared" si="6"/>
        <v>106.38297872340425</v>
      </c>
      <c r="AX20" s="232">
        <f>IF(ISNUMBER(AS21),SUM(AU20:AV20),SUM(AU20:AW20))</f>
        <v>20.212765957446809</v>
      </c>
      <c r="AY20" s="279">
        <f t="shared" si="0"/>
        <v>6.8306303745020891E-2</v>
      </c>
      <c r="AZ20" s="232">
        <f t="shared" si="4"/>
        <v>3.1291904770238403E-2</v>
      </c>
      <c r="BA20" s="232"/>
    </row>
    <row r="21" spans="1:54" ht="10.5" customHeight="1" x14ac:dyDescent="0.2">
      <c r="A21" s="246"/>
      <c r="B21" s="246"/>
      <c r="C21" s="246"/>
      <c r="D21" s="246"/>
      <c r="E21" s="238"/>
      <c r="F21" s="617" t="s">
        <v>562</v>
      </c>
      <c r="G21" s="257" t="s">
        <v>561</v>
      </c>
      <c r="H21" s="258"/>
      <c r="I21" s="487">
        <f>T9</f>
        <v>3.9145617154604316E-2</v>
      </c>
      <c r="J21" s="259"/>
      <c r="K21" s="260"/>
      <c r="L21" s="263"/>
      <c r="M21" s="263"/>
      <c r="N21" s="263"/>
      <c r="O21" s="263"/>
      <c r="P21" s="238"/>
      <c r="Q21" s="557" t="s">
        <v>285</v>
      </c>
      <c r="R21" s="621" t="s">
        <v>243</v>
      </c>
      <c r="S21" s="622"/>
      <c r="T21" s="355"/>
      <c r="U21" s="625" t="s">
        <v>281</v>
      </c>
      <c r="V21" s="625"/>
      <c r="W21" s="626"/>
      <c r="Y21" s="246"/>
      <c r="Z21" s="246"/>
      <c r="AA21" s="246"/>
      <c r="AB21" s="246"/>
      <c r="AC21" s="246"/>
      <c r="AD21" s="246"/>
      <c r="AE21" s="246"/>
      <c r="AF21" s="246"/>
      <c r="AG21" s="246"/>
      <c r="AH21" s="246"/>
      <c r="AI21" s="246"/>
      <c r="AJ21" s="246"/>
      <c r="AK21" s="246"/>
      <c r="AL21" s="246"/>
      <c r="AM21" s="246"/>
      <c r="AN21" s="246"/>
      <c r="AO21" s="246"/>
      <c r="AP21" s="246"/>
      <c r="AQ21" s="246"/>
      <c r="AS21" s="232">
        <f>IF(AS20&lt;$D$14,AS20+1,"")</f>
        <v>17</v>
      </c>
      <c r="AT21" s="278">
        <f>IF(ISNUMBER(AS21),AW20,0)</f>
        <v>106.38297872340425</v>
      </c>
      <c r="AU21" s="278"/>
      <c r="AV21" s="278">
        <f t="shared" si="2"/>
        <v>20.212765957446809</v>
      </c>
      <c r="AW21" s="278">
        <f t="shared" si="6"/>
        <v>106.38297872340425</v>
      </c>
      <c r="AX21" s="232">
        <f t="shared" si="7"/>
        <v>20.212765957446809</v>
      </c>
      <c r="AY21" s="279">
        <f t="shared" si="0"/>
        <v>6.8306303745020891E-2</v>
      </c>
      <c r="AZ21" s="232">
        <f t="shared" si="4"/>
        <v>2.9801814066893712E-2</v>
      </c>
      <c r="BA21" s="232"/>
    </row>
    <row r="22" spans="1:54" ht="12" customHeight="1" thickBot="1" x14ac:dyDescent="0.25">
      <c r="A22" s="246"/>
      <c r="B22" s="246"/>
      <c r="C22" s="246"/>
      <c r="D22" s="246"/>
      <c r="E22" s="238"/>
      <c r="F22" s="618"/>
      <c r="G22" s="261" t="s">
        <v>560</v>
      </c>
      <c r="H22" s="262"/>
      <c r="I22" s="488">
        <f>T10</f>
        <v>1.7060198648735907E-2</v>
      </c>
      <c r="J22" s="263"/>
      <c r="K22" s="264"/>
      <c r="L22" s="263"/>
      <c r="M22" s="263"/>
      <c r="N22" s="263"/>
      <c r="O22" s="263"/>
      <c r="P22" s="238"/>
      <c r="Q22" s="619"/>
      <c r="R22" s="623"/>
      <c r="S22" s="624"/>
      <c r="T22" s="356"/>
      <c r="U22" s="627"/>
      <c r="V22" s="627"/>
      <c r="W22" s="628"/>
      <c r="Y22" s="246"/>
      <c r="Z22" s="246"/>
      <c r="AA22" s="246"/>
      <c r="AB22" s="246"/>
      <c r="AC22" s="246"/>
      <c r="AD22" s="246"/>
      <c r="AE22" s="246"/>
      <c r="AF22" s="246"/>
      <c r="AG22" s="246"/>
      <c r="AH22" s="246"/>
      <c r="AI22" s="246"/>
      <c r="AJ22" s="246"/>
      <c r="AK22" s="246"/>
      <c r="AL22" s="246"/>
      <c r="AM22" s="246"/>
      <c r="AN22" s="246"/>
      <c r="AO22" s="246"/>
      <c r="AP22" s="246"/>
      <c r="AQ22" s="246"/>
      <c r="AS22" s="232">
        <f t="shared" si="1"/>
        <v>18</v>
      </c>
      <c r="AT22" s="278">
        <f t="shared" si="5"/>
        <v>106.38297872340425</v>
      </c>
      <c r="AU22" s="278"/>
      <c r="AV22" s="278">
        <f t="shared" si="2"/>
        <v>20.212765957446809</v>
      </c>
      <c r="AW22" s="278">
        <f t="shared" si="6"/>
        <v>106.38297872340425</v>
      </c>
      <c r="AX22" s="232">
        <f t="shared" si="7"/>
        <v>20.212765957446809</v>
      </c>
      <c r="AY22" s="279">
        <f t="shared" si="0"/>
        <v>6.8306303745020891E-2</v>
      </c>
      <c r="AZ22" s="232">
        <f t="shared" si="4"/>
        <v>2.8382680063708296E-2</v>
      </c>
      <c r="BA22" s="232"/>
    </row>
    <row r="23" spans="1:54" ht="10.75" customHeight="1" x14ac:dyDescent="0.2">
      <c r="A23" s="246"/>
      <c r="B23" s="565" t="s">
        <v>410</v>
      </c>
      <c r="C23" s="637"/>
      <c r="D23" s="637"/>
      <c r="E23" s="637"/>
      <c r="F23" s="618"/>
      <c r="G23" s="261" t="s">
        <v>390</v>
      </c>
      <c r="H23" s="262"/>
      <c r="I23" s="488" t="e">
        <f>T12</f>
        <v>#DIV/0!</v>
      </c>
      <c r="J23" s="263"/>
      <c r="K23" s="264"/>
      <c r="L23" s="263"/>
      <c r="M23" s="263"/>
      <c r="N23" s="263"/>
      <c r="O23" s="263"/>
      <c r="P23" s="238"/>
      <c r="Q23" s="619"/>
      <c r="R23" s="347" t="s">
        <v>566</v>
      </c>
      <c r="S23" s="494">
        <f>(R37/S37)*T5</f>
        <v>78.117419117826984</v>
      </c>
      <c r="T23" s="495"/>
      <c r="U23" s="496"/>
      <c r="V23" s="496"/>
      <c r="W23" s="497"/>
      <c r="Y23" s="246"/>
      <c r="Z23" s="246"/>
      <c r="AA23" s="246"/>
      <c r="AB23" s="246"/>
      <c r="AC23" s="246"/>
      <c r="AD23" s="246"/>
      <c r="AE23" s="246"/>
      <c r="AF23" s="246"/>
      <c r="AG23" s="246"/>
      <c r="AH23" s="246"/>
      <c r="AI23" s="246"/>
      <c r="AJ23" s="246"/>
      <c r="AK23" s="246"/>
      <c r="AL23" s="246"/>
      <c r="AM23" s="246"/>
      <c r="AN23" s="246"/>
      <c r="AO23" s="246"/>
      <c r="AP23" s="246"/>
      <c r="AQ23" s="246"/>
      <c r="AS23" s="232">
        <f t="shared" si="1"/>
        <v>19</v>
      </c>
      <c r="AT23" s="278">
        <f t="shared" si="5"/>
        <v>106.38297872340425</v>
      </c>
      <c r="AU23" s="278"/>
      <c r="AV23" s="278">
        <f t="shared" si="2"/>
        <v>20.212765957446809</v>
      </c>
      <c r="AW23" s="278">
        <f t="shared" si="6"/>
        <v>106.38297872340425</v>
      </c>
      <c r="AX23" s="232">
        <f t="shared" si="7"/>
        <v>20.212765957446809</v>
      </c>
      <c r="AY23" s="279">
        <f t="shared" si="0"/>
        <v>6.8306303745020891E-2</v>
      </c>
      <c r="AZ23" s="232">
        <f t="shared" si="4"/>
        <v>2.7031123870198379E-2</v>
      </c>
      <c r="BA23" s="232"/>
    </row>
    <row r="24" spans="1:54" ht="12.75" customHeight="1" x14ac:dyDescent="0.2">
      <c r="A24" s="246"/>
      <c r="B24" s="638"/>
      <c r="C24" s="639"/>
      <c r="D24" s="639"/>
      <c r="E24" s="639"/>
      <c r="F24" s="618"/>
      <c r="G24" s="261" t="s">
        <v>542</v>
      </c>
      <c r="H24" s="262"/>
      <c r="I24" s="488">
        <f>V14</f>
        <v>6.0794118307508785E-3</v>
      </c>
      <c r="J24" s="263"/>
      <c r="K24" s="264"/>
      <c r="L24" s="263"/>
      <c r="M24" s="263"/>
      <c r="N24" s="263"/>
      <c r="O24" s="263"/>
      <c r="P24" s="238"/>
      <c r="Q24" s="619"/>
      <c r="R24" s="347" t="s">
        <v>570</v>
      </c>
      <c r="S24" s="494">
        <f>T9*$R$37</f>
        <v>111.10555903950389</v>
      </c>
      <c r="T24" s="495"/>
      <c r="U24" s="496" t="s">
        <v>570</v>
      </c>
      <c r="V24" s="496"/>
      <c r="W24" s="497">
        <f>S24/S$23</f>
        <v>1.4222891679501066</v>
      </c>
      <c r="Y24" s="246"/>
      <c r="Z24" s="246"/>
      <c r="AA24" s="246"/>
      <c r="AB24" s="246"/>
      <c r="AC24" s="246"/>
      <c r="AD24" s="246"/>
      <c r="AE24" s="246"/>
      <c r="AF24" s="246"/>
      <c r="AG24" s="246"/>
      <c r="AH24" s="246"/>
      <c r="AI24" s="246"/>
      <c r="AJ24" s="246"/>
      <c r="AK24" s="246"/>
      <c r="AL24" s="246"/>
      <c r="AM24" s="246"/>
      <c r="AN24" s="246"/>
      <c r="AO24" s="246"/>
      <c r="AP24" s="246"/>
      <c r="AQ24" s="246"/>
      <c r="AS24" s="232">
        <f t="shared" si="1"/>
        <v>20</v>
      </c>
      <c r="AT24" s="278">
        <f t="shared" si="5"/>
        <v>106.38297872340425</v>
      </c>
      <c r="AU24" s="278"/>
      <c r="AV24" s="278">
        <f t="shared" si="2"/>
        <v>20.212765957446809</v>
      </c>
      <c r="AW24" s="278">
        <f t="shared" si="6"/>
        <v>106.38297872340425</v>
      </c>
      <c r="AX24" s="232">
        <f>IF(ISNUMBER(AS25),SUM(AU24:AV24),SUM(AU24:AW24))</f>
        <v>20.212765957446809</v>
      </c>
      <c r="AY24" s="279">
        <f t="shared" si="0"/>
        <v>6.8306303745020891E-2</v>
      </c>
      <c r="AZ24" s="232">
        <f t="shared" si="4"/>
        <v>2.5743927495427029E-2</v>
      </c>
      <c r="BA24" s="232"/>
    </row>
    <row r="25" spans="1:54" ht="14.5" customHeight="1" thickBot="1" x14ac:dyDescent="0.25">
      <c r="A25" s="246"/>
      <c r="B25" s="638"/>
      <c r="C25" s="639"/>
      <c r="D25" s="639"/>
      <c r="E25" s="639"/>
      <c r="F25" s="265" t="s">
        <v>574</v>
      </c>
      <c r="G25" s="266"/>
      <c r="H25" s="266"/>
      <c r="I25" s="267">
        <f>V14*J37</f>
        <v>1.7382393409871852</v>
      </c>
      <c r="J25" s="263"/>
      <c r="K25" s="264"/>
      <c r="L25" s="263"/>
      <c r="M25" s="263"/>
      <c r="N25" s="263"/>
      <c r="O25" s="263"/>
      <c r="P25" s="238"/>
      <c r="Q25" s="620"/>
      <c r="R25" s="347" t="s">
        <v>560</v>
      </c>
      <c r="S25" s="494">
        <f>T10*$R$37</f>
        <v>48.42133158117408</v>
      </c>
      <c r="T25" s="495"/>
      <c r="U25" s="496" t="s">
        <v>560</v>
      </c>
      <c r="V25" s="496"/>
      <c r="W25" s="497">
        <f>S25/S$23</f>
        <v>0.61985319187438392</v>
      </c>
      <c r="Y25" s="246"/>
      <c r="Z25" s="246"/>
      <c r="AA25" s="246"/>
      <c r="AB25" s="246"/>
      <c r="AC25" s="246"/>
      <c r="AD25" s="246"/>
      <c r="AE25" s="246"/>
      <c r="AF25" s="246"/>
      <c r="AG25" s="246"/>
      <c r="AH25" s="246"/>
      <c r="AI25" s="246"/>
      <c r="AJ25" s="246"/>
      <c r="AK25" s="246"/>
      <c r="AL25" s="246"/>
      <c r="AM25" s="246"/>
      <c r="AN25" s="246"/>
      <c r="AO25" s="246"/>
      <c r="AP25" s="246"/>
      <c r="AQ25" s="246"/>
      <c r="AS25" s="232">
        <f>IF(AS24&lt;$D$14,AS24+1,"")</f>
        <v>21</v>
      </c>
      <c r="AT25" s="278">
        <f>IF(ISNUMBER(AS25),AW24,0)</f>
        <v>106.38297872340425</v>
      </c>
      <c r="AU25" s="278"/>
      <c r="AV25" s="278">
        <f t="shared" si="2"/>
        <v>20.212765957446809</v>
      </c>
      <c r="AW25" s="278">
        <f t="shared" si="6"/>
        <v>106.38297872340425</v>
      </c>
      <c r="AX25" s="232">
        <f t="shared" si="7"/>
        <v>20.212765957446809</v>
      </c>
      <c r="AY25" s="279">
        <f t="shared" si="0"/>
        <v>6.8306303745020891E-2</v>
      </c>
      <c r="AZ25" s="232">
        <f t="shared" si="4"/>
        <v>2.4518026186120978E-2</v>
      </c>
      <c r="BA25" s="232"/>
    </row>
    <row r="26" spans="1:54" ht="12" customHeight="1" thickBot="1" x14ac:dyDescent="0.25">
      <c r="A26" s="246"/>
      <c r="B26" s="567"/>
      <c r="C26" s="640"/>
      <c r="D26" s="640"/>
      <c r="E26" s="640"/>
      <c r="F26" s="247"/>
      <c r="G26" s="238"/>
      <c r="H26" s="238"/>
      <c r="I26" s="238"/>
      <c r="J26" s="238"/>
      <c r="K26" s="244"/>
      <c r="L26" s="238"/>
      <c r="M26" s="238"/>
      <c r="N26" s="238"/>
      <c r="O26" s="263"/>
      <c r="P26" s="238"/>
      <c r="Q26" s="238"/>
      <c r="R26" s="347" t="s">
        <v>390</v>
      </c>
      <c r="S26" s="494" t="e">
        <f>T12*$R$37</f>
        <v>#DIV/0!</v>
      </c>
      <c r="T26" s="495"/>
      <c r="U26" s="496" t="s">
        <v>390</v>
      </c>
      <c r="V26" s="496"/>
      <c r="W26" s="497" t="e">
        <f>S26/S$23</f>
        <v>#DIV/0!</v>
      </c>
      <c r="Y26" s="246"/>
      <c r="Z26" s="246"/>
      <c r="AA26" s="246"/>
      <c r="AB26" s="246"/>
      <c r="AC26" s="246"/>
      <c r="AD26" s="246"/>
      <c r="AE26" s="246"/>
      <c r="AF26" s="246"/>
      <c r="AG26" s="246"/>
      <c r="AH26" s="246"/>
      <c r="AI26" s="246"/>
      <c r="AJ26" s="246"/>
      <c r="AK26" s="246"/>
      <c r="AL26" s="246"/>
      <c r="AM26" s="246"/>
      <c r="AN26" s="246"/>
      <c r="AO26" s="246"/>
      <c r="AP26" s="246"/>
      <c r="AQ26" s="246"/>
      <c r="AS26" s="232">
        <f t="shared" si="1"/>
        <v>22</v>
      </c>
      <c r="AT26" s="278">
        <f t="shared" si="5"/>
        <v>106.38297872340425</v>
      </c>
      <c r="AU26" s="278"/>
      <c r="AV26" s="278">
        <f t="shared" si="2"/>
        <v>20.212765957446809</v>
      </c>
      <c r="AW26" s="278">
        <f t="shared" si="6"/>
        <v>106.38297872340425</v>
      </c>
      <c r="AX26" s="232">
        <f t="shared" si="7"/>
        <v>20.212765957446809</v>
      </c>
      <c r="AY26" s="279">
        <f t="shared" si="0"/>
        <v>6.8306303745020891E-2</v>
      </c>
      <c r="AZ26" s="232">
        <f t="shared" si="4"/>
        <v>2.3350501129639028E-2</v>
      </c>
      <c r="BA26" s="232"/>
    </row>
    <row r="27" spans="1:54" ht="12.75" customHeight="1" x14ac:dyDescent="0.2">
      <c r="A27" s="246"/>
      <c r="B27" s="246"/>
      <c r="C27" s="246"/>
      <c r="D27" s="246"/>
      <c r="E27" s="238"/>
      <c r="F27" s="268" t="s">
        <v>282</v>
      </c>
      <c r="G27" s="489">
        <f>I21/I$24</f>
        <v>6.4390467769592394</v>
      </c>
      <c r="H27" s="269" t="s">
        <v>568</v>
      </c>
      <c r="I27" s="266"/>
      <c r="J27" s="266"/>
      <c r="K27" s="270"/>
      <c r="L27" s="238"/>
      <c r="M27" s="238"/>
      <c r="N27" s="238"/>
      <c r="O27" s="263"/>
      <c r="P27" s="238"/>
      <c r="R27" s="347" t="s">
        <v>542</v>
      </c>
      <c r="S27" s="494">
        <f>V14*$R$37</f>
        <v>17.254970011566233</v>
      </c>
      <c r="T27" s="495"/>
      <c r="U27" s="496" t="s">
        <v>542</v>
      </c>
      <c r="V27" s="496"/>
      <c r="W27" s="497">
        <f>S27/S$23</f>
        <v>0.22088504979331194</v>
      </c>
      <c r="Y27" s="246"/>
      <c r="Z27" s="246"/>
      <c r="AA27" s="246"/>
      <c r="AB27" s="246"/>
      <c r="AC27" s="246"/>
      <c r="AD27" s="246"/>
      <c r="AE27" s="246"/>
      <c r="AF27" s="246"/>
      <c r="AG27" s="246"/>
      <c r="AH27" s="246"/>
      <c r="AI27" s="246"/>
      <c r="AJ27" s="246"/>
      <c r="AK27" s="246"/>
      <c r="AL27" s="246"/>
      <c r="AM27" s="246"/>
      <c r="AN27" s="246"/>
      <c r="AO27" s="246"/>
      <c r="AP27" s="246"/>
      <c r="AQ27" s="246"/>
      <c r="AS27" s="232">
        <f t="shared" si="1"/>
        <v>23</v>
      </c>
      <c r="AT27" s="278">
        <f t="shared" si="5"/>
        <v>106.38297872340425</v>
      </c>
      <c r="AU27" s="278"/>
      <c r="AV27" s="278">
        <f t="shared" si="2"/>
        <v>20.212765957446809</v>
      </c>
      <c r="AW27" s="278">
        <f t="shared" si="6"/>
        <v>106.38297872340425</v>
      </c>
      <c r="AX27" s="232">
        <f t="shared" si="7"/>
        <v>20.212765957446809</v>
      </c>
      <c r="AY27" s="279">
        <f t="shared" si="0"/>
        <v>6.8306303745020891E-2</v>
      </c>
      <c r="AZ27" s="232">
        <f t="shared" si="4"/>
        <v>2.223857250441812E-2</v>
      </c>
      <c r="BA27" s="288"/>
      <c r="BB27" s="246"/>
    </row>
    <row r="28" spans="1:54" s="246" customFormat="1" ht="14.5" customHeight="1" x14ac:dyDescent="0.2">
      <c r="E28" s="238"/>
      <c r="F28" s="268" t="s">
        <v>569</v>
      </c>
      <c r="G28" s="489">
        <f>I22/I$24</f>
        <v>2.8062251947535479</v>
      </c>
      <c r="H28" s="269" t="s">
        <v>568</v>
      </c>
      <c r="I28" s="266"/>
      <c r="J28" s="266"/>
      <c r="K28" s="270"/>
      <c r="L28" s="238"/>
      <c r="M28" s="238"/>
      <c r="N28" s="238"/>
      <c r="O28" s="263"/>
      <c r="P28" s="238"/>
      <c r="R28" s="345" t="s">
        <v>247</v>
      </c>
      <c r="S28" s="498"/>
      <c r="T28" s="495"/>
      <c r="U28" s="495"/>
      <c r="V28" s="495"/>
      <c r="W28" s="499" t="s">
        <v>280</v>
      </c>
      <c r="AS28" s="232">
        <f t="shared" si="1"/>
        <v>24</v>
      </c>
      <c r="AT28" s="278">
        <f t="shared" si="5"/>
        <v>106.38297872340425</v>
      </c>
      <c r="AU28" s="278"/>
      <c r="AV28" s="278">
        <f t="shared" si="2"/>
        <v>20.212765957446809</v>
      </c>
      <c r="AW28" s="278">
        <f t="shared" si="6"/>
        <v>106.38297872340425</v>
      </c>
      <c r="AX28" s="232">
        <f>IF(ISNUMBER(AS29),SUM(AU28:AV28),SUM(AU28:AW28))</f>
        <v>20.212765957446809</v>
      </c>
      <c r="AY28" s="279">
        <f t="shared" si="0"/>
        <v>6.8306303745020891E-2</v>
      </c>
      <c r="AZ28" s="232">
        <f t="shared" si="4"/>
        <v>2.1179592861350592E-2</v>
      </c>
      <c r="BA28" s="232"/>
      <c r="BB28" s="233"/>
    </row>
    <row r="29" spans="1:54" ht="13.75" customHeight="1" x14ac:dyDescent="0.2">
      <c r="A29" s="246"/>
      <c r="B29" s="246"/>
      <c r="C29" s="246"/>
      <c r="D29" s="246"/>
      <c r="E29" s="238"/>
      <c r="F29" s="268" t="s">
        <v>407</v>
      </c>
      <c r="G29" s="489" t="e">
        <f>I23/I$24</f>
        <v>#DIV/0!</v>
      </c>
      <c r="H29" s="269" t="s">
        <v>568</v>
      </c>
      <c r="I29" s="266"/>
      <c r="J29" s="266"/>
      <c r="K29" s="270"/>
      <c r="L29" s="238"/>
      <c r="M29" s="238"/>
      <c r="N29" s="238"/>
      <c r="O29" s="263"/>
      <c r="P29" s="238"/>
      <c r="Q29" s="344"/>
      <c r="R29" s="346" t="s">
        <v>570</v>
      </c>
      <c r="S29" s="494">
        <f>IFERROR(IF(S24-S$23&gt;0,S24-S$23,"N/A"),"N/A")</f>
        <v>32.988139921676904</v>
      </c>
      <c r="T29" s="500"/>
      <c r="U29" s="496"/>
      <c r="V29" s="496"/>
      <c r="W29" s="501" t="str">
        <f>IF(AND(S29&lt;&gt;"N/A",S29&gt;=$W$33),R29,"Bednets")</f>
        <v>Bednets</v>
      </c>
      <c r="Y29" s="246"/>
      <c r="Z29" s="246"/>
      <c r="AA29" s="246"/>
      <c r="AB29" s="246"/>
      <c r="AC29" s="246"/>
      <c r="AD29" s="246"/>
      <c r="AE29" s="246"/>
      <c r="AF29" s="246"/>
      <c r="AG29" s="246"/>
      <c r="AH29" s="246"/>
      <c r="AI29" s="246"/>
      <c r="AJ29" s="246"/>
      <c r="AK29" s="246"/>
      <c r="AL29" s="246"/>
      <c r="AM29" s="246"/>
      <c r="AN29" s="246"/>
      <c r="AO29" s="246"/>
      <c r="AP29" s="246"/>
      <c r="AQ29" s="246"/>
      <c r="AS29" s="232">
        <f>IF(AS28&lt;$D$14,AS28+1,"")</f>
        <v>25</v>
      </c>
      <c r="AT29" s="278">
        <f>IF(ISNUMBER(AS29),AW28,0)</f>
        <v>106.38297872340425</v>
      </c>
      <c r="AU29" s="278"/>
      <c r="AV29" s="278">
        <f t="shared" si="2"/>
        <v>20.212765957446809</v>
      </c>
      <c r="AW29" s="278">
        <f t="shared" si="6"/>
        <v>106.38297872340425</v>
      </c>
      <c r="AX29" s="232">
        <f t="shared" si="7"/>
        <v>20.212765957446809</v>
      </c>
      <c r="AY29" s="279">
        <f t="shared" si="0"/>
        <v>6.8306303745020891E-2</v>
      </c>
      <c r="AZ29" s="232">
        <f t="shared" si="4"/>
        <v>2.0171040820333896E-2</v>
      </c>
      <c r="BA29" s="232"/>
    </row>
    <row r="30" spans="1:54" ht="13.5" customHeight="1" x14ac:dyDescent="0.2">
      <c r="A30" s="246"/>
      <c r="B30" s="246"/>
      <c r="C30" s="246"/>
      <c r="D30" s="246"/>
      <c r="E30" s="238"/>
      <c r="F30" s="247"/>
      <c r="G30" s="238"/>
      <c r="H30" s="238"/>
      <c r="I30" s="238"/>
      <c r="J30" s="263"/>
      <c r="K30" s="264"/>
      <c r="L30" s="238"/>
      <c r="M30" s="238"/>
      <c r="N30" s="238"/>
      <c r="O30" s="263"/>
      <c r="P30" s="238"/>
      <c r="Q30" s="344"/>
      <c r="R30" s="346" t="s">
        <v>560</v>
      </c>
      <c r="S30" s="494" t="str">
        <f>IFERROR(IF(S25-S$23&gt;0,S25-S$23,"N/A"),"N/A")</f>
        <v>N/A</v>
      </c>
      <c r="T30" s="500"/>
      <c r="U30" s="496"/>
      <c r="V30" s="496"/>
      <c r="W30" s="501" t="str">
        <f>IF(AND(S30&lt;&gt;"N/A",S30&gt;=$W$33),R30,"Bednets")</f>
        <v>Bednets</v>
      </c>
      <c r="Y30" s="246"/>
      <c r="Z30" s="246"/>
      <c r="AA30" s="246"/>
      <c r="AB30" s="246"/>
      <c r="AC30" s="246"/>
      <c r="AD30" s="246"/>
      <c r="AE30" s="246"/>
      <c r="AF30" s="246"/>
      <c r="AG30" s="246"/>
      <c r="AH30" s="246"/>
      <c r="AI30" s="246"/>
      <c r="AJ30" s="246"/>
      <c r="AK30" s="246"/>
      <c r="AL30" s="246"/>
      <c r="AM30" s="246"/>
      <c r="AN30" s="246"/>
      <c r="AO30" s="246"/>
      <c r="AP30" s="246"/>
      <c r="AQ30" s="246"/>
      <c r="AS30" s="232">
        <f t="shared" si="1"/>
        <v>26</v>
      </c>
      <c r="AT30" s="278">
        <f t="shared" si="5"/>
        <v>106.38297872340425</v>
      </c>
      <c r="AU30" s="278"/>
      <c r="AV30" s="278">
        <f t="shared" si="2"/>
        <v>20.212765957446809</v>
      </c>
      <c r="AW30" s="278">
        <f t="shared" si="6"/>
        <v>106.38297872340425</v>
      </c>
      <c r="AX30" s="232">
        <f>IF(ISNUMBER(AS33),SUM(AU30:AV30),SUM(AU30:AW30))</f>
        <v>20.212765957446809</v>
      </c>
      <c r="AY30" s="279">
        <f t="shared" si="0"/>
        <v>6.8306303745020891E-2</v>
      </c>
      <c r="AZ30" s="232">
        <f t="shared" si="4"/>
        <v>1.9210515066984662E-2</v>
      </c>
      <c r="BA30" s="232"/>
    </row>
    <row r="31" spans="1:54" ht="13.5" customHeight="1" x14ac:dyDescent="0.2">
      <c r="A31" s="246"/>
      <c r="B31" s="246"/>
      <c r="C31" s="246"/>
      <c r="D31" s="246"/>
      <c r="E31" s="238"/>
      <c r="F31" s="618" t="s">
        <v>446</v>
      </c>
      <c r="G31" s="261" t="s">
        <v>570</v>
      </c>
      <c r="H31" s="262"/>
      <c r="I31" s="431">
        <f>V9</f>
        <v>2332.6366177690934</v>
      </c>
      <c r="J31" s="263"/>
      <c r="K31" s="264"/>
      <c r="L31" s="238"/>
      <c r="M31" s="238"/>
      <c r="N31" s="238"/>
      <c r="O31" s="263"/>
      <c r="P31" s="238"/>
      <c r="Q31" s="286"/>
      <c r="R31" s="346" t="s">
        <v>390</v>
      </c>
      <c r="S31" s="494" t="str">
        <f>IFERROR(IF(S26-S$23&gt;0,S26-S$23,"N/A"),"N/A")</f>
        <v>N/A</v>
      </c>
      <c r="T31" s="500"/>
      <c r="U31" s="496"/>
      <c r="V31" s="496"/>
      <c r="W31" s="501" t="str">
        <f>IF(AND(S31&lt;&gt;"N/A",S31&gt;=$W$33),R31,"Bednets")</f>
        <v>Bednets</v>
      </c>
      <c r="Y31" s="246"/>
      <c r="Z31" s="246"/>
      <c r="AA31" s="246"/>
      <c r="AB31" s="246"/>
      <c r="AC31" s="246"/>
      <c r="AD31" s="246"/>
      <c r="AE31" s="246"/>
      <c r="AF31" s="246"/>
      <c r="AG31" s="246"/>
      <c r="AH31" s="246"/>
      <c r="AI31" s="246"/>
      <c r="AJ31" s="246"/>
      <c r="AK31" s="246"/>
      <c r="AL31" s="246"/>
      <c r="AM31" s="246"/>
      <c r="AN31" s="246"/>
      <c r="AO31" s="246"/>
      <c r="AP31" s="246"/>
      <c r="AQ31" s="246"/>
      <c r="AS31" s="232"/>
      <c r="AT31" s="278"/>
      <c r="AU31" s="278"/>
      <c r="AV31" s="278"/>
      <c r="AW31" s="278"/>
      <c r="AX31" s="232"/>
      <c r="AY31" s="279"/>
      <c r="AZ31" s="232"/>
      <c r="BA31" s="232"/>
    </row>
    <row r="32" spans="1:54" ht="13.5" customHeight="1" x14ac:dyDescent="0.2">
      <c r="A32" s="246"/>
      <c r="B32" s="246"/>
      <c r="C32" s="246"/>
      <c r="D32" s="246"/>
      <c r="E32" s="238"/>
      <c r="F32" s="618"/>
      <c r="G32" s="261" t="s">
        <v>560</v>
      </c>
      <c r="H32" s="262"/>
      <c r="I32" s="431">
        <f>V10</f>
        <v>5352.3702671988467</v>
      </c>
      <c r="J32" s="263"/>
      <c r="K32" s="264"/>
      <c r="L32" s="263"/>
      <c r="M32" s="263"/>
      <c r="N32" s="263"/>
      <c r="O32" s="263"/>
      <c r="P32" s="238"/>
      <c r="Q32" s="286"/>
      <c r="R32" s="352"/>
      <c r="S32" s="353"/>
      <c r="T32" s="353"/>
      <c r="U32" s="353"/>
      <c r="V32" s="353"/>
      <c r="W32" s="354"/>
      <c r="Y32" s="246"/>
      <c r="Z32" s="246"/>
      <c r="AA32" s="246"/>
      <c r="AB32" s="246"/>
      <c r="AC32" s="246"/>
      <c r="AD32" s="246"/>
      <c r="AE32" s="246"/>
      <c r="AF32" s="246"/>
      <c r="AG32" s="246"/>
      <c r="AH32" s="246"/>
      <c r="AI32" s="246"/>
      <c r="AJ32" s="246"/>
      <c r="AK32" s="246"/>
      <c r="AL32" s="246"/>
      <c r="AM32" s="246"/>
      <c r="AN32" s="246"/>
      <c r="AO32" s="246"/>
      <c r="AP32" s="246"/>
      <c r="AQ32" s="246"/>
      <c r="AS32" s="232"/>
      <c r="AT32" s="278"/>
      <c r="AU32" s="278"/>
      <c r="AV32" s="278"/>
      <c r="AW32" s="278"/>
      <c r="AX32" s="232"/>
      <c r="AY32" s="279"/>
      <c r="AZ32" s="232"/>
      <c r="BA32" s="232"/>
    </row>
    <row r="33" spans="1:53" ht="13.75" customHeight="1" thickBot="1" x14ac:dyDescent="0.25">
      <c r="A33" s="246"/>
      <c r="B33" s="246"/>
      <c r="C33" s="246"/>
      <c r="D33" s="246"/>
      <c r="E33" s="246"/>
      <c r="F33" s="618"/>
      <c r="G33" s="261" t="s">
        <v>566</v>
      </c>
      <c r="H33" s="262"/>
      <c r="I33" s="431">
        <f>V11</f>
        <v>1987.9304359459575</v>
      </c>
      <c r="J33" s="238"/>
      <c r="K33" s="244"/>
      <c r="L33" s="238"/>
      <c r="M33" s="238"/>
      <c r="N33" s="238"/>
      <c r="O33" s="238"/>
      <c r="P33" s="246"/>
      <c r="Q33" s="286"/>
      <c r="R33" s="642" t="s">
        <v>248</v>
      </c>
      <c r="S33" s="643"/>
      <c r="T33" s="643"/>
      <c r="U33" s="643"/>
      <c r="V33" s="643"/>
      <c r="W33" s="502">
        <f>$G$10*U37</f>
        <v>91.312500000000014</v>
      </c>
      <c r="X33" s="286"/>
      <c r="Y33" s="286"/>
      <c r="Z33" s="246"/>
      <c r="AA33" s="246"/>
      <c r="AB33" s="246"/>
      <c r="AC33" s="246"/>
      <c r="AD33" s="246"/>
      <c r="AE33" s="246"/>
      <c r="AF33" s="246"/>
      <c r="AG33" s="246"/>
      <c r="AH33" s="246"/>
      <c r="AI33" s="246"/>
      <c r="AJ33" s="246"/>
      <c r="AK33" s="246"/>
      <c r="AL33" s="246"/>
      <c r="AM33" s="246"/>
      <c r="AN33" s="246"/>
      <c r="AO33" s="246"/>
      <c r="AP33" s="246"/>
      <c r="AQ33" s="246"/>
      <c r="AS33" s="232">
        <f>IF(AS30&lt;$D$14,AS30+1,"")</f>
        <v>27</v>
      </c>
      <c r="AT33" s="278">
        <f>IF(ISNUMBER(AS33),AW30,0)</f>
        <v>106.38297872340425</v>
      </c>
      <c r="AU33" s="278"/>
      <c r="AV33" s="278">
        <f t="shared" si="2"/>
        <v>20.212765957446809</v>
      </c>
      <c r="AW33" s="278">
        <f t="shared" si="6"/>
        <v>106.38297872340425</v>
      </c>
      <c r="AX33" s="232">
        <f>IF(ISNUMBER(AS35),SUM(AU33:AV33),SUM(AU33:AW33))</f>
        <v>20.212765957446809</v>
      </c>
      <c r="AY33" s="279">
        <f>LN(AX33+$J$37)-LN($J$37)</f>
        <v>6.8306303745020891E-2</v>
      </c>
      <c r="AZ33" s="232">
        <f t="shared" si="4"/>
        <v>1.8295728635223486E-2</v>
      </c>
    </row>
    <row r="34" spans="1:53" ht="13.75" customHeight="1" thickBot="1" x14ac:dyDescent="0.25">
      <c r="A34" s="246"/>
      <c r="B34" s="246"/>
      <c r="C34" s="246"/>
      <c r="D34" s="246"/>
      <c r="E34" s="246"/>
      <c r="F34" s="641"/>
      <c r="G34" s="289" t="s">
        <v>390</v>
      </c>
      <c r="H34" s="290"/>
      <c r="I34" s="432" t="str">
        <f>V12</f>
        <v>-</v>
      </c>
      <c r="J34" s="239"/>
      <c r="K34" s="325"/>
      <c r="L34" s="238"/>
      <c r="M34" s="238"/>
      <c r="N34" s="238"/>
      <c r="O34" s="238"/>
      <c r="P34" s="246"/>
      <c r="Q34" s="286"/>
      <c r="R34" s="378"/>
      <c r="S34" s="378"/>
      <c r="T34" s="378"/>
      <c r="U34" s="378"/>
      <c r="V34" s="378"/>
      <c r="W34" s="287"/>
      <c r="X34" s="287"/>
      <c r="Y34" s="286"/>
      <c r="Z34" s="246"/>
      <c r="AA34" s="246"/>
      <c r="AB34" s="246"/>
      <c r="AC34" s="246"/>
      <c r="AD34" s="246"/>
      <c r="AE34" s="246"/>
      <c r="AF34" s="246"/>
      <c r="AG34" s="246"/>
      <c r="AH34" s="246"/>
      <c r="AI34" s="246"/>
      <c r="AJ34" s="246"/>
      <c r="AK34" s="246"/>
      <c r="AL34" s="246"/>
      <c r="AM34" s="246"/>
      <c r="AN34" s="246"/>
      <c r="AO34" s="246"/>
      <c r="AP34" s="246"/>
      <c r="AQ34" s="246"/>
      <c r="AS34" s="232"/>
      <c r="AT34" s="278"/>
      <c r="AU34" s="278"/>
      <c r="AV34" s="278"/>
      <c r="AW34" s="278"/>
      <c r="AX34" s="232"/>
      <c r="AY34" s="279"/>
      <c r="AZ34" s="232"/>
    </row>
    <row r="35" spans="1:53" ht="51" customHeight="1" thickBot="1" x14ac:dyDescent="0.25">
      <c r="B35" s="246"/>
      <c r="C35" s="246"/>
      <c r="D35" s="246"/>
      <c r="E35" s="246"/>
      <c r="F35" s="246"/>
      <c r="G35" s="246"/>
      <c r="H35" s="246"/>
      <c r="I35" s="309"/>
      <c r="J35" s="309"/>
      <c r="K35" s="246"/>
      <c r="L35" s="246"/>
      <c r="M35" s="246"/>
      <c r="N35" s="246"/>
      <c r="O35" s="246"/>
      <c r="P35" s="246"/>
      <c r="Q35" s="286"/>
      <c r="R35" s="286"/>
      <c r="S35" s="286"/>
      <c r="T35" s="286"/>
      <c r="U35" s="286"/>
      <c r="W35" s="246"/>
      <c r="Y35" s="286"/>
      <c r="Z35" s="246"/>
      <c r="AA35" s="246"/>
      <c r="AB35" s="246"/>
      <c r="AC35" s="246"/>
      <c r="AD35" s="246"/>
      <c r="AE35" s="246"/>
      <c r="AF35" s="246"/>
      <c r="AG35" s="246"/>
      <c r="AH35" s="246"/>
      <c r="AI35" s="246"/>
      <c r="AJ35" s="246"/>
      <c r="AK35" s="246"/>
      <c r="AL35" s="246"/>
      <c r="AM35" s="246"/>
      <c r="AN35" s="246"/>
      <c r="AR35" s="232"/>
      <c r="AS35" s="232">
        <f>IF(AS33&lt;$D$14,AS33+1,"")</f>
        <v>28</v>
      </c>
      <c r="AT35" s="278">
        <f>IF(ISNUMBER(AS35),AW33,0)</f>
        <v>106.38297872340425</v>
      </c>
      <c r="AU35" s="278"/>
      <c r="AV35" s="278">
        <f t="shared" si="2"/>
        <v>20.212765957446809</v>
      </c>
      <c r="AW35" s="278">
        <f t="shared" si="6"/>
        <v>106.38297872340425</v>
      </c>
      <c r="AX35" s="232">
        <f t="shared" si="7"/>
        <v>20.212765957446809</v>
      </c>
      <c r="AY35" s="279">
        <f>LN(AX35+$J$37)-LN($J$37)</f>
        <v>6.8306303745020891E-2</v>
      </c>
      <c r="AZ35" s="232">
        <f t="shared" si="4"/>
        <v>1.7424503462117609E-2</v>
      </c>
    </row>
    <row r="36" spans="1:53" ht="31.5" customHeight="1" x14ac:dyDescent="0.2">
      <c r="A36" s="246"/>
      <c r="B36" s="644" t="s">
        <v>557</v>
      </c>
      <c r="C36" s="248"/>
      <c r="D36" s="647" t="s">
        <v>552</v>
      </c>
      <c r="E36" s="648"/>
      <c r="F36" s="649"/>
      <c r="G36" s="250" t="s">
        <v>544</v>
      </c>
      <c r="H36" s="647" t="s">
        <v>555</v>
      </c>
      <c r="I36" s="649"/>
      <c r="J36" s="647" t="s">
        <v>554</v>
      </c>
      <c r="K36" s="648"/>
      <c r="L36" s="648"/>
      <c r="M36" s="648"/>
      <c r="N36" s="649"/>
      <c r="O36" s="647" t="s">
        <v>545</v>
      </c>
      <c r="P36" s="649"/>
      <c r="Q36" s="470" t="s">
        <v>546</v>
      </c>
      <c r="R36" s="281" t="s">
        <v>441</v>
      </c>
      <c r="S36" s="466" t="s">
        <v>553</v>
      </c>
      <c r="T36" s="467"/>
      <c r="U36" s="281" t="s">
        <v>435</v>
      </c>
      <c r="V36" s="281" t="s">
        <v>401</v>
      </c>
      <c r="W36" s="283" t="s">
        <v>404</v>
      </c>
      <c r="X36" s="212"/>
      <c r="Y36" s="246"/>
      <c r="Z36" s="246"/>
      <c r="AA36" s="246"/>
      <c r="AB36" s="246"/>
      <c r="AC36" s="246"/>
      <c r="AD36" s="246"/>
      <c r="AE36" s="246"/>
      <c r="AF36" s="246"/>
      <c r="AG36" s="246"/>
      <c r="AH36" s="246"/>
      <c r="AI36" s="246"/>
      <c r="AJ36" s="246"/>
      <c r="AK36" s="246"/>
      <c r="AL36" s="246"/>
      <c r="AM36" s="246"/>
      <c r="AN36" s="246"/>
      <c r="AR36" s="232"/>
      <c r="AS36" s="232">
        <f t="shared" si="1"/>
        <v>29</v>
      </c>
      <c r="AT36" s="278">
        <f t="shared" si="5"/>
        <v>106.38297872340425</v>
      </c>
      <c r="AU36" s="278"/>
      <c r="AV36" s="278">
        <f t="shared" si="2"/>
        <v>20.212765957446809</v>
      </c>
      <c r="AW36" s="278">
        <f t="shared" si="6"/>
        <v>106.38297872340425</v>
      </c>
      <c r="AX36" s="232">
        <f t="shared" si="7"/>
        <v>20.212765957446809</v>
      </c>
      <c r="AY36" s="279">
        <f>LN(AX36+$J$37)-LN($J$37)</f>
        <v>6.8306303745020891E-2</v>
      </c>
      <c r="AZ36" s="232">
        <f t="shared" si="4"/>
        <v>1.6594765202016769E-2</v>
      </c>
      <c r="BA36" s="232"/>
    </row>
    <row r="37" spans="1:53" ht="12" customHeight="1" x14ac:dyDescent="0.2">
      <c r="A37" s="246"/>
      <c r="B37" s="645"/>
      <c r="C37" s="251" t="s">
        <v>548</v>
      </c>
      <c r="D37" s="650">
        <f>Parameters!$D$29</f>
        <v>0.26900000000000002</v>
      </c>
      <c r="E37" s="651"/>
      <c r="F37" s="652"/>
      <c r="G37" s="255">
        <f>Parameters!$D$30</f>
        <v>2.41</v>
      </c>
      <c r="H37" s="653">
        <f>Parameters!$D$61</f>
        <v>4.7</v>
      </c>
      <c r="I37" s="654"/>
      <c r="J37" s="629">
        <f>Parameters!$D$58</f>
        <v>285.92228810603416</v>
      </c>
      <c r="K37" s="630"/>
      <c r="L37" s="630"/>
      <c r="M37" s="630"/>
      <c r="N37" s="631"/>
      <c r="O37" s="632">
        <f>Parameters!$D$59</f>
        <v>1000</v>
      </c>
      <c r="P37" s="633"/>
      <c r="Q37" s="280">
        <f>Parameters!$D$60</f>
        <v>212.7659574468085</v>
      </c>
      <c r="R37" s="282">
        <f>Parameters!$D$49</f>
        <v>2838.2630576673801</v>
      </c>
      <c r="S37" s="282">
        <f>Parameters!$D$50</f>
        <v>3.6112369528824271</v>
      </c>
      <c r="T37" s="464"/>
      <c r="U37" s="340">
        <f>Parameters!$D$11</f>
        <v>36.525000000000006</v>
      </c>
      <c r="V37" s="328">
        <f>Parameters!$D$45</f>
        <v>15</v>
      </c>
      <c r="W37" s="320">
        <f>Parameters!$D$46</f>
        <v>0.43099999999999999</v>
      </c>
      <c r="X37" s="316"/>
      <c r="Y37" s="246"/>
      <c r="Z37" s="238"/>
      <c r="AA37" s="246"/>
      <c r="AB37" s="246"/>
      <c r="AC37" s="246"/>
      <c r="AD37" s="246"/>
      <c r="AE37" s="246"/>
      <c r="AF37" s="246"/>
      <c r="AG37" s="246"/>
      <c r="AH37" s="246"/>
      <c r="AI37" s="246"/>
      <c r="AJ37" s="246"/>
      <c r="AK37" s="246"/>
      <c r="AL37" s="246"/>
      <c r="AM37" s="246"/>
      <c r="AN37" s="246"/>
      <c r="AO37" s="246"/>
      <c r="AS37" s="232">
        <f t="shared" si="1"/>
        <v>30</v>
      </c>
      <c r="AT37" s="278">
        <f t="shared" si="5"/>
        <v>106.38297872340425</v>
      </c>
      <c r="AU37" s="278"/>
      <c r="AV37" s="278">
        <f t="shared" si="2"/>
        <v>20.212765957446809</v>
      </c>
      <c r="AW37" s="278">
        <f t="shared" si="6"/>
        <v>106.38297872340425</v>
      </c>
      <c r="AX37" s="232">
        <f t="shared" si="7"/>
        <v>20.212765957446809</v>
      </c>
      <c r="AY37" s="279">
        <f>LN(AX37+$J$37)-LN($J$37)</f>
        <v>6.8306303745020891E-2</v>
      </c>
      <c r="AZ37" s="232">
        <f t="shared" si="4"/>
        <v>1.5804538287635023E-2</v>
      </c>
      <c r="BA37" s="232"/>
    </row>
    <row r="38" spans="1:53" ht="12" customHeight="1" thickBot="1" x14ac:dyDescent="0.25">
      <c r="A38" s="246"/>
      <c r="B38" s="646"/>
      <c r="C38" s="252" t="s">
        <v>549</v>
      </c>
      <c r="D38" s="634" t="s">
        <v>218</v>
      </c>
      <c r="E38" s="635"/>
      <c r="F38" s="635"/>
      <c r="G38" s="636"/>
      <c r="H38" s="392" t="s">
        <v>551</v>
      </c>
      <c r="I38" s="393"/>
      <c r="J38" s="393"/>
      <c r="K38" s="393"/>
      <c r="L38" s="393"/>
      <c r="M38" s="393"/>
      <c r="N38" s="393"/>
      <c r="O38" s="393"/>
      <c r="P38" s="393"/>
      <c r="Q38" s="394"/>
      <c r="R38" s="634" t="s">
        <v>131</v>
      </c>
      <c r="S38" s="635"/>
      <c r="T38" s="636"/>
      <c r="U38" s="329" t="s">
        <v>253</v>
      </c>
      <c r="V38" s="330" t="s">
        <v>402</v>
      </c>
      <c r="W38" s="331" t="s">
        <v>349</v>
      </c>
      <c r="X38" s="429"/>
      <c r="Y38" s="246"/>
      <c r="Z38" s="238"/>
      <c r="AA38" s="246"/>
      <c r="AB38" s="246"/>
      <c r="AC38" s="246"/>
      <c r="AD38" s="246"/>
      <c r="AE38" s="246"/>
      <c r="AF38" s="246"/>
      <c r="AG38" s="246"/>
      <c r="AH38" s="246"/>
      <c r="AI38" s="246"/>
      <c r="AJ38" s="246"/>
      <c r="AK38" s="246"/>
      <c r="AL38" s="246"/>
      <c r="AM38" s="246"/>
      <c r="AN38" s="246"/>
      <c r="AO38" s="246"/>
      <c r="AP38" s="246"/>
      <c r="AQ38" s="246"/>
      <c r="AS38" s="232">
        <f t="shared" si="1"/>
        <v>31</v>
      </c>
      <c r="AT38" s="278">
        <f t="shared" si="5"/>
        <v>106.38297872340425</v>
      </c>
      <c r="AU38" s="278"/>
      <c r="AV38" s="278">
        <f t="shared" si="2"/>
        <v>20.212765957446809</v>
      </c>
      <c r="AW38" s="278">
        <f t="shared" si="6"/>
        <v>106.38297872340425</v>
      </c>
      <c r="AX38" s="232">
        <f t="shared" si="7"/>
        <v>20.212765957446809</v>
      </c>
      <c r="AY38" s="279">
        <f>LN(AX38+$J$37)-LN($J$37)</f>
        <v>6.8306303745020891E-2</v>
      </c>
      <c r="AZ38" s="232">
        <f t="shared" si="4"/>
        <v>1.5051941226319063E-2</v>
      </c>
      <c r="BA38" s="232"/>
    </row>
    <row r="39" spans="1:53" s="246" customFormat="1" ht="15" x14ac:dyDescent="0.2">
      <c r="J39" s="309"/>
      <c r="K39" s="309"/>
      <c r="L39" s="309"/>
      <c r="M39" s="309"/>
      <c r="Z39" s="238"/>
      <c r="AS39" s="288">
        <f t="shared" si="1"/>
        <v>32</v>
      </c>
      <c r="AT39" s="326">
        <f t="shared" si="5"/>
        <v>106.38297872340425</v>
      </c>
      <c r="AU39" s="326"/>
      <c r="AV39" s="326">
        <f t="shared" si="2"/>
        <v>20.212765957446809</v>
      </c>
      <c r="AW39" s="326">
        <f t="shared" si="6"/>
        <v>106.38297872340425</v>
      </c>
      <c r="AX39" s="288">
        <f t="shared" si="7"/>
        <v>20.212765957446809</v>
      </c>
      <c r="AY39" s="327">
        <f t="shared" ref="AY39:AY102" si="8">LN(AX39+$J$37)-LN($J$37)</f>
        <v>6.8306303745020891E-2</v>
      </c>
      <c r="AZ39" s="288">
        <f t="shared" si="4"/>
        <v>1.4335182120303869E-2</v>
      </c>
      <c r="BA39" s="288"/>
    </row>
    <row r="40" spans="1:53" s="246" customFormat="1" ht="15" x14ac:dyDescent="0.2">
      <c r="R40" s="309"/>
      <c r="AS40" s="288">
        <f t="shared" si="1"/>
        <v>33</v>
      </c>
      <c r="AT40" s="326">
        <f t="shared" si="5"/>
        <v>106.38297872340425</v>
      </c>
      <c r="AU40" s="326"/>
      <c r="AV40" s="326">
        <f t="shared" si="2"/>
        <v>20.212765957446809</v>
      </c>
      <c r="AW40" s="326">
        <f t="shared" si="6"/>
        <v>106.38297872340425</v>
      </c>
      <c r="AX40" s="288">
        <f t="shared" si="7"/>
        <v>20.212765957446809</v>
      </c>
      <c r="AY40" s="327">
        <f t="shared" si="8"/>
        <v>6.8306303745020891E-2</v>
      </c>
      <c r="AZ40" s="288">
        <f t="shared" si="4"/>
        <v>1.36525544002894E-2</v>
      </c>
      <c r="BA40" s="288"/>
    </row>
    <row r="41" spans="1:53" s="246" customFormat="1" ht="15" x14ac:dyDescent="0.2">
      <c r="R41" s="309"/>
      <c r="AS41" s="288">
        <f t="shared" si="1"/>
        <v>34</v>
      </c>
      <c r="AT41" s="326">
        <f t="shared" si="5"/>
        <v>106.38297872340425</v>
      </c>
      <c r="AU41" s="326"/>
      <c r="AV41" s="326">
        <f t="shared" si="2"/>
        <v>20.212765957446809</v>
      </c>
      <c r="AW41" s="326">
        <f t="shared" si="6"/>
        <v>106.38297872340425</v>
      </c>
      <c r="AX41" s="288">
        <f t="shared" si="7"/>
        <v>20.212765957446809</v>
      </c>
      <c r="AY41" s="327">
        <f t="shared" si="8"/>
        <v>6.8306303745020891E-2</v>
      </c>
      <c r="AZ41" s="288">
        <f t="shared" si="4"/>
        <v>1.3002432762180381E-2</v>
      </c>
      <c r="BA41" s="288"/>
    </row>
    <row r="42" spans="1:53" s="246" customFormat="1" ht="15" x14ac:dyDescent="0.2">
      <c r="R42" s="309"/>
      <c r="S42" s="410"/>
      <c r="AS42" s="288">
        <f t="shared" si="1"/>
        <v>35</v>
      </c>
      <c r="AT42" s="326">
        <f t="shared" si="5"/>
        <v>106.38297872340425</v>
      </c>
      <c r="AU42" s="326"/>
      <c r="AV42" s="326">
        <f t="shared" si="2"/>
        <v>20.212765957446809</v>
      </c>
      <c r="AW42" s="326">
        <f t="shared" si="6"/>
        <v>106.38297872340425</v>
      </c>
      <c r="AX42" s="288">
        <f t="shared" si="7"/>
        <v>20.212765957446809</v>
      </c>
      <c r="AY42" s="327">
        <f t="shared" si="8"/>
        <v>6.8306303745020891E-2</v>
      </c>
      <c r="AZ42" s="288">
        <f t="shared" si="4"/>
        <v>1.2383269297314647E-2</v>
      </c>
      <c r="BA42" s="288"/>
    </row>
    <row r="43" spans="1:53" s="246" customFormat="1" ht="15" x14ac:dyDescent="0.2">
      <c r="R43" s="412"/>
      <c r="S43" s="387"/>
      <c r="AS43" s="288">
        <f t="shared" si="1"/>
        <v>36</v>
      </c>
      <c r="AT43" s="326">
        <f t="shared" si="5"/>
        <v>106.38297872340425</v>
      </c>
      <c r="AU43" s="326"/>
      <c r="AV43" s="326">
        <f t="shared" si="2"/>
        <v>20.212765957446809</v>
      </c>
      <c r="AW43" s="326">
        <f t="shared" si="6"/>
        <v>106.38297872340425</v>
      </c>
      <c r="AX43" s="288">
        <f t="shared" si="7"/>
        <v>20.212765957446809</v>
      </c>
      <c r="AY43" s="327">
        <f t="shared" si="8"/>
        <v>6.8306303745020891E-2</v>
      </c>
      <c r="AZ43" s="288">
        <f t="shared" si="4"/>
        <v>1.1793589806966332E-2</v>
      </c>
      <c r="BA43" s="288"/>
    </row>
    <row r="44" spans="1:53" s="246" customFormat="1" ht="15" x14ac:dyDescent="0.2">
      <c r="S44" s="387"/>
      <c r="AS44" s="288">
        <f t="shared" si="1"/>
        <v>37</v>
      </c>
      <c r="AT44" s="326">
        <f t="shared" si="5"/>
        <v>106.38297872340425</v>
      </c>
      <c r="AU44" s="326"/>
      <c r="AV44" s="326">
        <f t="shared" si="2"/>
        <v>20.212765957446809</v>
      </c>
      <c r="AW44" s="326">
        <f t="shared" si="6"/>
        <v>106.38297872340425</v>
      </c>
      <c r="AX44" s="288">
        <f t="shared" si="7"/>
        <v>20.212765957446809</v>
      </c>
      <c r="AY44" s="327">
        <f t="shared" si="8"/>
        <v>6.8306303745020891E-2</v>
      </c>
      <c r="AZ44" s="288">
        <f t="shared" si="4"/>
        <v>1.1231990292348887E-2</v>
      </c>
      <c r="BA44" s="288"/>
    </row>
    <row r="45" spans="1:53" s="246" customFormat="1" ht="15" x14ac:dyDescent="0.2">
      <c r="S45" s="387"/>
      <c r="AS45" s="288">
        <f t="shared" si="1"/>
        <v>38</v>
      </c>
      <c r="AT45" s="326">
        <f t="shared" si="5"/>
        <v>106.38297872340425</v>
      </c>
      <c r="AU45" s="326"/>
      <c r="AV45" s="326">
        <f t="shared" si="2"/>
        <v>20.212765957446809</v>
      </c>
      <c r="AW45" s="326">
        <f t="shared" si="6"/>
        <v>106.38297872340425</v>
      </c>
      <c r="AX45" s="288">
        <f t="shared" si="7"/>
        <v>20.212765957446809</v>
      </c>
      <c r="AY45" s="327">
        <f t="shared" si="8"/>
        <v>6.8306303745020891E-2</v>
      </c>
      <c r="AZ45" s="288">
        <f t="shared" si="4"/>
        <v>1.0697133611760846E-2</v>
      </c>
      <c r="BA45" s="288"/>
    </row>
    <row r="46" spans="1:53" s="246" customFormat="1" ht="15" x14ac:dyDescent="0.2">
      <c r="S46" s="387"/>
      <c r="AS46" s="288">
        <f t="shared" si="1"/>
        <v>39</v>
      </c>
      <c r="AT46" s="326">
        <f t="shared" si="5"/>
        <v>106.38297872340425</v>
      </c>
      <c r="AU46" s="326"/>
      <c r="AV46" s="326">
        <f t="shared" si="2"/>
        <v>20.212765957446809</v>
      </c>
      <c r="AW46" s="326">
        <f t="shared" si="6"/>
        <v>106.38297872340425</v>
      </c>
      <c r="AX46" s="288">
        <f t="shared" si="7"/>
        <v>20.212765957446809</v>
      </c>
      <c r="AY46" s="327">
        <f t="shared" si="8"/>
        <v>6.8306303745020891E-2</v>
      </c>
      <c r="AZ46" s="288">
        <f t="shared" si="4"/>
        <v>1.0187746296915089E-2</v>
      </c>
      <c r="BA46" s="288"/>
    </row>
    <row r="47" spans="1:53" s="246" customFormat="1" ht="15" x14ac:dyDescent="0.2">
      <c r="S47" s="387"/>
      <c r="AS47" s="288">
        <f t="shared" si="1"/>
        <v>40</v>
      </c>
      <c r="AT47" s="326">
        <f t="shared" si="5"/>
        <v>106.38297872340425</v>
      </c>
      <c r="AU47" s="326"/>
      <c r="AV47" s="326">
        <f t="shared" si="2"/>
        <v>20.212765957446809</v>
      </c>
      <c r="AW47" s="326">
        <f t="shared" si="6"/>
        <v>106.38297872340425</v>
      </c>
      <c r="AX47" s="288">
        <f t="shared" si="7"/>
        <v>126.59574468085106</v>
      </c>
      <c r="AY47" s="327">
        <f t="shared" si="8"/>
        <v>0.36655986667788287</v>
      </c>
      <c r="AZ47" s="288">
        <f t="shared" si="4"/>
        <v>5.2068246366158748E-2</v>
      </c>
      <c r="BA47" s="288"/>
    </row>
    <row r="48" spans="1:53" s="246" customFormat="1" ht="15" x14ac:dyDescent="0.2">
      <c r="AS48" s="288" t="str">
        <f t="shared" si="1"/>
        <v/>
      </c>
      <c r="AT48" s="326">
        <f t="shared" si="5"/>
        <v>0</v>
      </c>
      <c r="AU48" s="326"/>
      <c r="AV48" s="326">
        <f t="shared" si="2"/>
        <v>0</v>
      </c>
      <c r="AW48" s="326">
        <f t="shared" si="6"/>
        <v>0</v>
      </c>
      <c r="AX48" s="288">
        <f t="shared" si="7"/>
        <v>0</v>
      </c>
      <c r="AY48" s="327">
        <f t="shared" si="8"/>
        <v>0</v>
      </c>
      <c r="AZ48" s="288">
        <f t="shared" si="4"/>
        <v>0</v>
      </c>
      <c r="BA48" s="288"/>
    </row>
    <row r="49" spans="45:53" s="246" customFormat="1" ht="15" x14ac:dyDescent="0.2">
      <c r="AS49" s="288" t="str">
        <f t="shared" si="1"/>
        <v/>
      </c>
      <c r="AT49" s="326">
        <f t="shared" si="5"/>
        <v>0</v>
      </c>
      <c r="AU49" s="326"/>
      <c r="AV49" s="326">
        <f t="shared" si="2"/>
        <v>0</v>
      </c>
      <c r="AW49" s="326">
        <f t="shared" si="6"/>
        <v>0</v>
      </c>
      <c r="AX49" s="288">
        <f t="shared" si="7"/>
        <v>0</v>
      </c>
      <c r="AY49" s="327">
        <f t="shared" si="8"/>
        <v>0</v>
      </c>
      <c r="AZ49" s="288">
        <f t="shared" si="4"/>
        <v>0</v>
      </c>
      <c r="BA49" s="288"/>
    </row>
    <row r="50" spans="45:53" s="246" customFormat="1" ht="15" x14ac:dyDescent="0.2">
      <c r="AS50" s="288" t="str">
        <f t="shared" si="1"/>
        <v/>
      </c>
      <c r="AT50" s="326">
        <f t="shared" si="5"/>
        <v>0</v>
      </c>
      <c r="AU50" s="326"/>
      <c r="AV50" s="326">
        <f t="shared" si="2"/>
        <v>0</v>
      </c>
      <c r="AW50" s="326">
        <f t="shared" si="6"/>
        <v>0</v>
      </c>
      <c r="AX50" s="288">
        <f t="shared" si="7"/>
        <v>0</v>
      </c>
      <c r="AY50" s="327">
        <f t="shared" si="8"/>
        <v>0</v>
      </c>
      <c r="AZ50" s="288">
        <f t="shared" si="4"/>
        <v>0</v>
      </c>
      <c r="BA50" s="288"/>
    </row>
    <row r="51" spans="45:53" s="246" customFormat="1" ht="15" x14ac:dyDescent="0.2">
      <c r="AS51" s="288" t="str">
        <f t="shared" si="1"/>
        <v/>
      </c>
      <c r="AT51" s="326">
        <f t="shared" si="5"/>
        <v>0</v>
      </c>
      <c r="AU51" s="326"/>
      <c r="AV51" s="326">
        <f t="shared" si="2"/>
        <v>0</v>
      </c>
      <c r="AW51" s="326">
        <f t="shared" si="6"/>
        <v>0</v>
      </c>
      <c r="AX51" s="288">
        <f t="shared" si="7"/>
        <v>0</v>
      </c>
      <c r="AY51" s="327">
        <f t="shared" si="8"/>
        <v>0</v>
      </c>
      <c r="AZ51" s="288">
        <f t="shared" si="4"/>
        <v>0</v>
      </c>
      <c r="BA51" s="288"/>
    </row>
    <row r="52" spans="45:53" s="246" customFormat="1" ht="15" x14ac:dyDescent="0.2">
      <c r="AS52" s="288" t="str">
        <f t="shared" si="1"/>
        <v/>
      </c>
      <c r="AT52" s="326">
        <f t="shared" si="5"/>
        <v>0</v>
      </c>
      <c r="AU52" s="326"/>
      <c r="AV52" s="326">
        <f t="shared" si="2"/>
        <v>0</v>
      </c>
      <c r="AW52" s="326">
        <f t="shared" si="6"/>
        <v>0</v>
      </c>
      <c r="AX52" s="288">
        <f t="shared" si="7"/>
        <v>0</v>
      </c>
      <c r="AY52" s="327">
        <f t="shared" si="8"/>
        <v>0</v>
      </c>
      <c r="AZ52" s="288">
        <f t="shared" si="4"/>
        <v>0</v>
      </c>
      <c r="BA52" s="288"/>
    </row>
    <row r="53" spans="45:53" s="246" customFormat="1" ht="15" x14ac:dyDescent="0.2">
      <c r="AS53" s="288" t="str">
        <f t="shared" si="1"/>
        <v/>
      </c>
      <c r="AT53" s="326">
        <f t="shared" si="5"/>
        <v>0</v>
      </c>
      <c r="AU53" s="326"/>
      <c r="AV53" s="326">
        <f t="shared" si="2"/>
        <v>0</v>
      </c>
      <c r="AW53" s="326">
        <f t="shared" si="6"/>
        <v>0</v>
      </c>
      <c r="AX53" s="288">
        <f t="shared" si="7"/>
        <v>0</v>
      </c>
      <c r="AY53" s="327">
        <f t="shared" si="8"/>
        <v>0</v>
      </c>
      <c r="AZ53" s="288">
        <f t="shared" si="4"/>
        <v>0</v>
      </c>
      <c r="BA53" s="288"/>
    </row>
    <row r="54" spans="45:53" s="246" customFormat="1" ht="15" x14ac:dyDescent="0.2">
      <c r="AS54" s="288" t="str">
        <f t="shared" si="1"/>
        <v/>
      </c>
      <c r="AT54" s="326">
        <f t="shared" si="5"/>
        <v>0</v>
      </c>
      <c r="AU54" s="326"/>
      <c r="AV54" s="326">
        <f t="shared" si="2"/>
        <v>0</v>
      </c>
      <c r="AW54" s="326">
        <f t="shared" si="6"/>
        <v>0</v>
      </c>
      <c r="AX54" s="288">
        <f t="shared" si="7"/>
        <v>0</v>
      </c>
      <c r="AY54" s="327">
        <f t="shared" si="8"/>
        <v>0</v>
      </c>
      <c r="AZ54" s="288">
        <f t="shared" si="4"/>
        <v>0</v>
      </c>
      <c r="BA54" s="288"/>
    </row>
    <row r="55" spans="45:53" s="246" customFormat="1" ht="15" x14ac:dyDescent="0.2">
      <c r="AS55" s="288" t="str">
        <f t="shared" si="1"/>
        <v/>
      </c>
      <c r="AT55" s="326">
        <f t="shared" si="5"/>
        <v>0</v>
      </c>
      <c r="AU55" s="326"/>
      <c r="AV55" s="326">
        <f t="shared" si="2"/>
        <v>0</v>
      </c>
      <c r="AW55" s="326">
        <f t="shared" si="6"/>
        <v>0</v>
      </c>
      <c r="AX55" s="288">
        <f t="shared" si="7"/>
        <v>0</v>
      </c>
      <c r="AY55" s="327">
        <f t="shared" si="8"/>
        <v>0</v>
      </c>
      <c r="AZ55" s="288">
        <f t="shared" si="4"/>
        <v>0</v>
      </c>
      <c r="BA55" s="288"/>
    </row>
    <row r="56" spans="45:53" s="246" customFormat="1" ht="15" x14ac:dyDescent="0.2">
      <c r="AS56" s="288" t="str">
        <f t="shared" si="1"/>
        <v/>
      </c>
      <c r="AT56" s="326">
        <f t="shared" si="5"/>
        <v>0</v>
      </c>
      <c r="AU56" s="326"/>
      <c r="AV56" s="326">
        <f t="shared" si="2"/>
        <v>0</v>
      </c>
      <c r="AW56" s="326">
        <f t="shared" si="6"/>
        <v>0</v>
      </c>
      <c r="AX56" s="288">
        <f t="shared" si="7"/>
        <v>0</v>
      </c>
      <c r="AY56" s="327">
        <f t="shared" si="8"/>
        <v>0</v>
      </c>
      <c r="AZ56" s="288">
        <f t="shared" si="4"/>
        <v>0</v>
      </c>
      <c r="BA56" s="288"/>
    </row>
    <row r="57" spans="45:53" s="246" customFormat="1" ht="15" x14ac:dyDescent="0.2">
      <c r="AS57" s="288" t="str">
        <f t="shared" si="1"/>
        <v/>
      </c>
      <c r="AT57" s="326">
        <f t="shared" si="5"/>
        <v>0</v>
      </c>
      <c r="AU57" s="326"/>
      <c r="AV57" s="326">
        <f t="shared" si="2"/>
        <v>0</v>
      </c>
      <c r="AW57" s="326">
        <f t="shared" si="6"/>
        <v>0</v>
      </c>
      <c r="AX57" s="288">
        <f t="shared" si="7"/>
        <v>0</v>
      </c>
      <c r="AY57" s="327">
        <f t="shared" si="8"/>
        <v>0</v>
      </c>
      <c r="AZ57" s="288">
        <f t="shared" si="4"/>
        <v>0</v>
      </c>
      <c r="BA57" s="288"/>
    </row>
    <row r="58" spans="45:53" s="246" customFormat="1" ht="15" x14ac:dyDescent="0.2">
      <c r="AS58" s="288" t="str">
        <f t="shared" si="1"/>
        <v/>
      </c>
      <c r="AT58" s="326">
        <f t="shared" si="5"/>
        <v>0</v>
      </c>
      <c r="AU58" s="326"/>
      <c r="AV58" s="326">
        <f t="shared" si="2"/>
        <v>0</v>
      </c>
      <c r="AW58" s="326">
        <f t="shared" si="6"/>
        <v>0</v>
      </c>
      <c r="AX58" s="288">
        <f t="shared" si="7"/>
        <v>0</v>
      </c>
      <c r="AY58" s="327">
        <f t="shared" si="8"/>
        <v>0</v>
      </c>
      <c r="AZ58" s="288">
        <f t="shared" si="4"/>
        <v>0</v>
      </c>
      <c r="BA58" s="288"/>
    </row>
    <row r="59" spans="45:53" s="246" customFormat="1" ht="15" x14ac:dyDescent="0.2">
      <c r="AS59" s="288" t="str">
        <f t="shared" si="1"/>
        <v/>
      </c>
      <c r="AT59" s="326">
        <f t="shared" si="5"/>
        <v>0</v>
      </c>
      <c r="AU59" s="326"/>
      <c r="AV59" s="326">
        <f t="shared" si="2"/>
        <v>0</v>
      </c>
      <c r="AW59" s="326">
        <f t="shared" si="6"/>
        <v>0</v>
      </c>
      <c r="AX59" s="288">
        <f t="shared" si="7"/>
        <v>0</v>
      </c>
      <c r="AY59" s="327">
        <f t="shared" si="8"/>
        <v>0</v>
      </c>
      <c r="AZ59" s="288">
        <f t="shared" si="4"/>
        <v>0</v>
      </c>
      <c r="BA59" s="288"/>
    </row>
    <row r="60" spans="45:53" s="246" customFormat="1" ht="15" x14ac:dyDescent="0.2">
      <c r="AS60" s="288" t="str">
        <f t="shared" si="1"/>
        <v/>
      </c>
      <c r="AT60" s="326">
        <f t="shared" si="5"/>
        <v>0</v>
      </c>
      <c r="AU60" s="326"/>
      <c r="AV60" s="326">
        <f t="shared" si="2"/>
        <v>0</v>
      </c>
      <c r="AW60" s="326">
        <f t="shared" si="6"/>
        <v>0</v>
      </c>
      <c r="AX60" s="288">
        <f t="shared" si="7"/>
        <v>0</v>
      </c>
      <c r="AY60" s="327">
        <f t="shared" si="8"/>
        <v>0</v>
      </c>
      <c r="AZ60" s="288">
        <f t="shared" si="4"/>
        <v>0</v>
      </c>
      <c r="BA60" s="288"/>
    </row>
    <row r="61" spans="45:53" s="246" customFormat="1" ht="15" x14ac:dyDescent="0.2">
      <c r="AS61" s="288" t="str">
        <f t="shared" si="1"/>
        <v/>
      </c>
      <c r="AT61" s="326">
        <f t="shared" si="5"/>
        <v>0</v>
      </c>
      <c r="AU61" s="326"/>
      <c r="AV61" s="326">
        <f t="shared" si="2"/>
        <v>0</v>
      </c>
      <c r="AW61" s="326">
        <f t="shared" si="6"/>
        <v>0</v>
      </c>
      <c r="AX61" s="288">
        <f t="shared" si="7"/>
        <v>0</v>
      </c>
      <c r="AY61" s="327">
        <f t="shared" si="8"/>
        <v>0</v>
      </c>
      <c r="AZ61" s="288">
        <f t="shared" si="4"/>
        <v>0</v>
      </c>
      <c r="BA61" s="288"/>
    </row>
    <row r="62" spans="45:53" s="246" customFormat="1" ht="15" x14ac:dyDescent="0.2">
      <c r="AS62" s="288" t="str">
        <f t="shared" si="1"/>
        <v/>
      </c>
      <c r="AT62" s="326">
        <f t="shared" si="5"/>
        <v>0</v>
      </c>
      <c r="AU62" s="326"/>
      <c r="AV62" s="326">
        <f t="shared" si="2"/>
        <v>0</v>
      </c>
      <c r="AW62" s="326">
        <f t="shared" si="6"/>
        <v>0</v>
      </c>
      <c r="AX62" s="288">
        <f t="shared" si="7"/>
        <v>0</v>
      </c>
      <c r="AY62" s="327">
        <f t="shared" si="8"/>
        <v>0</v>
      </c>
      <c r="AZ62" s="288">
        <f t="shared" si="4"/>
        <v>0</v>
      </c>
      <c r="BA62" s="288"/>
    </row>
    <row r="63" spans="45:53" s="246" customFormat="1" ht="15" x14ac:dyDescent="0.2">
      <c r="AS63" s="288" t="str">
        <f t="shared" si="1"/>
        <v/>
      </c>
      <c r="AT63" s="326">
        <f t="shared" si="5"/>
        <v>0</v>
      </c>
      <c r="AU63" s="326"/>
      <c r="AV63" s="326">
        <f t="shared" si="2"/>
        <v>0</v>
      </c>
      <c r="AW63" s="326">
        <f t="shared" si="6"/>
        <v>0</v>
      </c>
      <c r="AX63" s="288">
        <f t="shared" si="7"/>
        <v>0</v>
      </c>
      <c r="AY63" s="327">
        <f t="shared" si="8"/>
        <v>0</v>
      </c>
      <c r="AZ63" s="288">
        <f t="shared" si="4"/>
        <v>0</v>
      </c>
      <c r="BA63" s="288"/>
    </row>
    <row r="64" spans="45:53" s="246" customFormat="1" ht="15" x14ac:dyDescent="0.2">
      <c r="AS64" s="288" t="str">
        <f t="shared" si="1"/>
        <v/>
      </c>
      <c r="AT64" s="326">
        <f t="shared" si="5"/>
        <v>0</v>
      </c>
      <c r="AU64" s="326"/>
      <c r="AV64" s="326">
        <f t="shared" si="2"/>
        <v>0</v>
      </c>
      <c r="AW64" s="326">
        <f t="shared" si="6"/>
        <v>0</v>
      </c>
      <c r="AX64" s="288">
        <f t="shared" si="7"/>
        <v>0</v>
      </c>
      <c r="AY64" s="327">
        <f t="shared" si="8"/>
        <v>0</v>
      </c>
      <c r="AZ64" s="288">
        <f t="shared" si="4"/>
        <v>0</v>
      </c>
      <c r="BA64" s="288"/>
    </row>
    <row r="65" spans="45:53" s="246" customFormat="1" ht="15" x14ac:dyDescent="0.2">
      <c r="AS65" s="288" t="str">
        <f t="shared" si="1"/>
        <v/>
      </c>
      <c r="AT65" s="326">
        <f t="shared" si="5"/>
        <v>0</v>
      </c>
      <c r="AU65" s="326"/>
      <c r="AV65" s="326">
        <f t="shared" si="2"/>
        <v>0</v>
      </c>
      <c r="AW65" s="326">
        <f t="shared" si="6"/>
        <v>0</v>
      </c>
      <c r="AX65" s="288">
        <f t="shared" si="7"/>
        <v>0</v>
      </c>
      <c r="AY65" s="327">
        <f t="shared" si="8"/>
        <v>0</v>
      </c>
      <c r="AZ65" s="288">
        <f t="shared" si="4"/>
        <v>0</v>
      </c>
      <c r="BA65" s="288"/>
    </row>
    <row r="66" spans="45:53" s="246" customFormat="1" ht="15" x14ac:dyDescent="0.2">
      <c r="AS66" s="288" t="str">
        <f t="shared" si="1"/>
        <v/>
      </c>
      <c r="AT66" s="326">
        <f t="shared" si="5"/>
        <v>0</v>
      </c>
      <c r="AU66" s="326"/>
      <c r="AV66" s="326">
        <f t="shared" si="2"/>
        <v>0</v>
      </c>
      <c r="AW66" s="326">
        <f t="shared" si="6"/>
        <v>0</v>
      </c>
      <c r="AX66" s="288">
        <f t="shared" si="7"/>
        <v>0</v>
      </c>
      <c r="AY66" s="327">
        <f t="shared" si="8"/>
        <v>0</v>
      </c>
      <c r="AZ66" s="288">
        <f t="shared" si="4"/>
        <v>0</v>
      </c>
      <c r="BA66" s="288"/>
    </row>
    <row r="67" spans="45:53" s="246" customFormat="1" ht="15" x14ac:dyDescent="0.2">
      <c r="AS67" s="288" t="str">
        <f t="shared" si="1"/>
        <v/>
      </c>
      <c r="AT67" s="326">
        <f t="shared" si="5"/>
        <v>0</v>
      </c>
      <c r="AU67" s="326"/>
      <c r="AV67" s="326">
        <f t="shared" si="2"/>
        <v>0</v>
      </c>
      <c r="AW67" s="326">
        <f t="shared" si="6"/>
        <v>0</v>
      </c>
      <c r="AX67" s="288">
        <f t="shared" si="7"/>
        <v>0</v>
      </c>
      <c r="AY67" s="327">
        <f t="shared" si="8"/>
        <v>0</v>
      </c>
      <c r="AZ67" s="288">
        <f t="shared" si="4"/>
        <v>0</v>
      </c>
      <c r="BA67" s="288"/>
    </row>
    <row r="68" spans="45:53" s="246" customFormat="1" ht="15" x14ac:dyDescent="0.2">
      <c r="AS68" s="288" t="str">
        <f t="shared" si="1"/>
        <v/>
      </c>
      <c r="AT68" s="326">
        <f t="shared" si="5"/>
        <v>0</v>
      </c>
      <c r="AU68" s="326"/>
      <c r="AV68" s="326">
        <f t="shared" si="2"/>
        <v>0</v>
      </c>
      <c r="AW68" s="326">
        <f t="shared" si="6"/>
        <v>0</v>
      </c>
      <c r="AX68" s="288">
        <f t="shared" si="7"/>
        <v>0</v>
      </c>
      <c r="AY68" s="327">
        <f t="shared" si="8"/>
        <v>0</v>
      </c>
      <c r="AZ68" s="288">
        <f t="shared" si="4"/>
        <v>0</v>
      </c>
      <c r="BA68" s="288"/>
    </row>
    <row r="69" spans="45:53" s="246" customFormat="1" ht="15" x14ac:dyDescent="0.2">
      <c r="AS69" s="288" t="str">
        <f t="shared" ref="AS69:AS114" si="9">IF(AS68&lt;$D$14,AS68+1,"")</f>
        <v/>
      </c>
      <c r="AT69" s="326">
        <f t="shared" si="5"/>
        <v>0</v>
      </c>
      <c r="AU69" s="326"/>
      <c r="AV69" s="326">
        <f t="shared" si="2"/>
        <v>0</v>
      </c>
      <c r="AW69" s="326">
        <f t="shared" si="6"/>
        <v>0</v>
      </c>
      <c r="AX69" s="288">
        <f t="shared" si="7"/>
        <v>0</v>
      </c>
      <c r="AY69" s="327">
        <f t="shared" si="8"/>
        <v>0</v>
      </c>
      <c r="AZ69" s="288">
        <f t="shared" si="4"/>
        <v>0</v>
      </c>
      <c r="BA69" s="288"/>
    </row>
    <row r="70" spans="45:53" s="246" customFormat="1" ht="15" x14ac:dyDescent="0.2">
      <c r="AS70" s="288" t="str">
        <f t="shared" si="9"/>
        <v/>
      </c>
      <c r="AT70" s="326">
        <f t="shared" si="5"/>
        <v>0</v>
      </c>
      <c r="AU70" s="326"/>
      <c r="AV70" s="326">
        <f t="shared" si="2"/>
        <v>0</v>
      </c>
      <c r="AW70" s="326">
        <f t="shared" si="6"/>
        <v>0</v>
      </c>
      <c r="AX70" s="288">
        <f t="shared" si="7"/>
        <v>0</v>
      </c>
      <c r="AY70" s="327">
        <f t="shared" si="8"/>
        <v>0</v>
      </c>
      <c r="AZ70" s="288">
        <f t="shared" si="4"/>
        <v>0</v>
      </c>
      <c r="BA70" s="288"/>
    </row>
    <row r="71" spans="45:53" s="246" customFormat="1" ht="15" x14ac:dyDescent="0.2">
      <c r="AS71" s="288" t="str">
        <f t="shared" si="9"/>
        <v/>
      </c>
      <c r="AT71" s="326">
        <f t="shared" si="5"/>
        <v>0</v>
      </c>
      <c r="AU71" s="326"/>
      <c r="AV71" s="326">
        <f t="shared" si="2"/>
        <v>0</v>
      </c>
      <c r="AW71" s="326">
        <f t="shared" si="6"/>
        <v>0</v>
      </c>
      <c r="AX71" s="288">
        <f t="shared" si="7"/>
        <v>0</v>
      </c>
      <c r="AY71" s="327">
        <f t="shared" si="8"/>
        <v>0</v>
      </c>
      <c r="AZ71" s="288">
        <f t="shared" si="4"/>
        <v>0</v>
      </c>
      <c r="BA71" s="288"/>
    </row>
    <row r="72" spans="45:53" s="246" customFormat="1" ht="15" x14ac:dyDescent="0.2">
      <c r="AS72" s="288" t="str">
        <f t="shared" si="9"/>
        <v/>
      </c>
      <c r="AT72" s="326">
        <f t="shared" si="5"/>
        <v>0</v>
      </c>
      <c r="AU72" s="326"/>
      <c r="AV72" s="326">
        <f t="shared" ref="AV72:AV114" si="10">$D$10*AT72</f>
        <v>0</v>
      </c>
      <c r="AW72" s="326">
        <f t="shared" si="6"/>
        <v>0</v>
      </c>
      <c r="AX72" s="288">
        <f t="shared" si="7"/>
        <v>0</v>
      </c>
      <c r="AY72" s="327">
        <f t="shared" si="8"/>
        <v>0</v>
      </c>
      <c r="AZ72" s="288">
        <f t="shared" ref="AZ72:AZ114" si="11">IF(ISNUMBER(AS72),AY72/(1+$D$7)^AS72,0)</f>
        <v>0</v>
      </c>
      <c r="BA72" s="288"/>
    </row>
    <row r="73" spans="45:53" s="246" customFormat="1" ht="15" x14ac:dyDescent="0.2">
      <c r="AS73" s="288" t="str">
        <f t="shared" si="9"/>
        <v/>
      </c>
      <c r="AT73" s="326">
        <f t="shared" ref="AT73:AT114" si="12">IF(ISNUMBER(AS73),AW72,0)</f>
        <v>0</v>
      </c>
      <c r="AU73" s="326"/>
      <c r="AV73" s="326">
        <f t="shared" si="10"/>
        <v>0</v>
      </c>
      <c r="AW73" s="326">
        <f t="shared" ref="AW73:AW114" si="13">AT73</f>
        <v>0</v>
      </c>
      <c r="AX73" s="288">
        <f t="shared" si="7"/>
        <v>0</v>
      </c>
      <c r="AY73" s="327">
        <f t="shared" si="8"/>
        <v>0</v>
      </c>
      <c r="AZ73" s="288">
        <f t="shared" si="11"/>
        <v>0</v>
      </c>
      <c r="BA73" s="288"/>
    </row>
    <row r="74" spans="45:53" s="246" customFormat="1" ht="15" x14ac:dyDescent="0.2">
      <c r="AS74" s="288" t="str">
        <f t="shared" si="9"/>
        <v/>
      </c>
      <c r="AT74" s="326">
        <f t="shared" si="12"/>
        <v>0</v>
      </c>
      <c r="AU74" s="326"/>
      <c r="AV74" s="326">
        <f t="shared" si="10"/>
        <v>0</v>
      </c>
      <c r="AW74" s="326">
        <f t="shared" si="13"/>
        <v>0</v>
      </c>
      <c r="AX74" s="288">
        <f t="shared" si="7"/>
        <v>0</v>
      </c>
      <c r="AY74" s="327">
        <f t="shared" si="8"/>
        <v>0</v>
      </c>
      <c r="AZ74" s="288">
        <f t="shared" si="11"/>
        <v>0</v>
      </c>
      <c r="BA74" s="288"/>
    </row>
    <row r="75" spans="45:53" s="246" customFormat="1" ht="15" x14ac:dyDescent="0.2">
      <c r="AS75" s="288" t="str">
        <f t="shared" si="9"/>
        <v/>
      </c>
      <c r="AT75" s="326">
        <f t="shared" si="12"/>
        <v>0</v>
      </c>
      <c r="AU75" s="326"/>
      <c r="AV75" s="326">
        <f t="shared" si="10"/>
        <v>0</v>
      </c>
      <c r="AW75" s="326">
        <f t="shared" si="13"/>
        <v>0</v>
      </c>
      <c r="AX75" s="288">
        <f t="shared" si="7"/>
        <v>0</v>
      </c>
      <c r="AY75" s="327">
        <f t="shared" si="8"/>
        <v>0</v>
      </c>
      <c r="AZ75" s="288">
        <f t="shared" si="11"/>
        <v>0</v>
      </c>
      <c r="BA75" s="288"/>
    </row>
    <row r="76" spans="45:53" s="246" customFormat="1" ht="15" x14ac:dyDescent="0.2">
      <c r="AS76" s="288" t="str">
        <f t="shared" si="9"/>
        <v/>
      </c>
      <c r="AT76" s="326">
        <f t="shared" si="12"/>
        <v>0</v>
      </c>
      <c r="AU76" s="326"/>
      <c r="AV76" s="326">
        <f t="shared" si="10"/>
        <v>0</v>
      </c>
      <c r="AW76" s="326">
        <f t="shared" si="13"/>
        <v>0</v>
      </c>
      <c r="AX76" s="288">
        <f t="shared" si="7"/>
        <v>0</v>
      </c>
      <c r="AY76" s="327">
        <f t="shared" si="8"/>
        <v>0</v>
      </c>
      <c r="AZ76" s="288">
        <f t="shared" si="11"/>
        <v>0</v>
      </c>
      <c r="BA76" s="288"/>
    </row>
    <row r="77" spans="45:53" s="246" customFormat="1" ht="15" x14ac:dyDescent="0.2">
      <c r="AS77" s="288" t="str">
        <f t="shared" si="9"/>
        <v/>
      </c>
      <c r="AT77" s="326">
        <f t="shared" si="12"/>
        <v>0</v>
      </c>
      <c r="AU77" s="326"/>
      <c r="AV77" s="326">
        <f t="shared" si="10"/>
        <v>0</v>
      </c>
      <c r="AW77" s="326">
        <f t="shared" si="13"/>
        <v>0</v>
      </c>
      <c r="AX77" s="288">
        <f t="shared" si="7"/>
        <v>0</v>
      </c>
      <c r="AY77" s="327">
        <f t="shared" si="8"/>
        <v>0</v>
      </c>
      <c r="AZ77" s="288">
        <f t="shared" si="11"/>
        <v>0</v>
      </c>
      <c r="BA77" s="288"/>
    </row>
    <row r="78" spans="45:53" s="246" customFormat="1" ht="15" x14ac:dyDescent="0.2">
      <c r="AS78" s="288" t="str">
        <f t="shared" si="9"/>
        <v/>
      </c>
      <c r="AT78" s="326">
        <f t="shared" si="12"/>
        <v>0</v>
      </c>
      <c r="AU78" s="326"/>
      <c r="AV78" s="326">
        <f t="shared" si="10"/>
        <v>0</v>
      </c>
      <c r="AW78" s="326">
        <f t="shared" si="13"/>
        <v>0</v>
      </c>
      <c r="AX78" s="288">
        <f t="shared" si="7"/>
        <v>0</v>
      </c>
      <c r="AY78" s="327">
        <f t="shared" si="8"/>
        <v>0</v>
      </c>
      <c r="AZ78" s="288">
        <f t="shared" si="11"/>
        <v>0</v>
      </c>
      <c r="BA78" s="288"/>
    </row>
    <row r="79" spans="45:53" s="246" customFormat="1" ht="15" x14ac:dyDescent="0.2">
      <c r="AS79" s="288" t="str">
        <f t="shared" si="9"/>
        <v/>
      </c>
      <c r="AT79" s="326">
        <f t="shared" si="12"/>
        <v>0</v>
      </c>
      <c r="AU79" s="326"/>
      <c r="AV79" s="326">
        <f t="shared" si="10"/>
        <v>0</v>
      </c>
      <c r="AW79" s="326">
        <f t="shared" si="13"/>
        <v>0</v>
      </c>
      <c r="AX79" s="288">
        <f t="shared" si="7"/>
        <v>0</v>
      </c>
      <c r="AY79" s="327">
        <f t="shared" si="8"/>
        <v>0</v>
      </c>
      <c r="AZ79" s="288">
        <f t="shared" si="11"/>
        <v>0</v>
      </c>
      <c r="BA79" s="288"/>
    </row>
    <row r="80" spans="45:53" s="246" customFormat="1" ht="15" x14ac:dyDescent="0.2">
      <c r="AS80" s="288" t="str">
        <f t="shared" si="9"/>
        <v/>
      </c>
      <c r="AT80" s="326">
        <f t="shared" si="12"/>
        <v>0</v>
      </c>
      <c r="AU80" s="326"/>
      <c r="AV80" s="326">
        <f t="shared" si="10"/>
        <v>0</v>
      </c>
      <c r="AW80" s="326">
        <f t="shared" si="13"/>
        <v>0</v>
      </c>
      <c r="AX80" s="288">
        <f t="shared" si="7"/>
        <v>0</v>
      </c>
      <c r="AY80" s="327">
        <f t="shared" si="8"/>
        <v>0</v>
      </c>
      <c r="AZ80" s="288">
        <f t="shared" si="11"/>
        <v>0</v>
      </c>
      <c r="BA80" s="288"/>
    </row>
    <row r="81" spans="45:53" s="246" customFormat="1" ht="15" x14ac:dyDescent="0.2">
      <c r="AS81" s="288" t="str">
        <f t="shared" si="9"/>
        <v/>
      </c>
      <c r="AT81" s="326">
        <f t="shared" si="12"/>
        <v>0</v>
      </c>
      <c r="AU81" s="326"/>
      <c r="AV81" s="326">
        <f t="shared" si="10"/>
        <v>0</v>
      </c>
      <c r="AW81" s="326">
        <f t="shared" si="13"/>
        <v>0</v>
      </c>
      <c r="AX81" s="288">
        <f t="shared" si="7"/>
        <v>0</v>
      </c>
      <c r="AY81" s="327">
        <f t="shared" si="8"/>
        <v>0</v>
      </c>
      <c r="AZ81" s="288">
        <f t="shared" si="11"/>
        <v>0</v>
      </c>
      <c r="BA81" s="288"/>
    </row>
    <row r="82" spans="45:53" s="246" customFormat="1" ht="15" x14ac:dyDescent="0.2">
      <c r="AS82" s="288" t="str">
        <f t="shared" si="9"/>
        <v/>
      </c>
      <c r="AT82" s="326">
        <f t="shared" si="12"/>
        <v>0</v>
      </c>
      <c r="AU82" s="326"/>
      <c r="AV82" s="326">
        <f t="shared" si="10"/>
        <v>0</v>
      </c>
      <c r="AW82" s="326">
        <f t="shared" si="13"/>
        <v>0</v>
      </c>
      <c r="AX82" s="288">
        <f t="shared" ref="AX82:AX114" si="14">IF(ISNUMBER(AS83),SUM(AU82:AV82),SUM(AU82:AW82))</f>
        <v>0</v>
      </c>
      <c r="AY82" s="327">
        <f t="shared" si="8"/>
        <v>0</v>
      </c>
      <c r="AZ82" s="288">
        <f t="shared" si="11"/>
        <v>0</v>
      </c>
      <c r="BA82" s="288"/>
    </row>
    <row r="83" spans="45:53" s="246" customFormat="1" ht="15" x14ac:dyDescent="0.2">
      <c r="AS83" s="288" t="str">
        <f t="shared" si="9"/>
        <v/>
      </c>
      <c r="AT83" s="326">
        <f t="shared" si="12"/>
        <v>0</v>
      </c>
      <c r="AU83" s="326"/>
      <c r="AV83" s="326">
        <f t="shared" si="10"/>
        <v>0</v>
      </c>
      <c r="AW83" s="326">
        <f t="shared" si="13"/>
        <v>0</v>
      </c>
      <c r="AX83" s="288">
        <f t="shared" si="14"/>
        <v>0</v>
      </c>
      <c r="AY83" s="327">
        <f t="shared" si="8"/>
        <v>0</v>
      </c>
      <c r="AZ83" s="288">
        <f t="shared" si="11"/>
        <v>0</v>
      </c>
      <c r="BA83" s="288"/>
    </row>
    <row r="84" spans="45:53" s="246" customFormat="1" ht="15" x14ac:dyDescent="0.2">
      <c r="AS84" s="288" t="str">
        <f t="shared" si="9"/>
        <v/>
      </c>
      <c r="AT84" s="326">
        <f t="shared" si="12"/>
        <v>0</v>
      </c>
      <c r="AU84" s="326"/>
      <c r="AV84" s="326">
        <f t="shared" si="10"/>
        <v>0</v>
      </c>
      <c r="AW84" s="326">
        <f t="shared" si="13"/>
        <v>0</v>
      </c>
      <c r="AX84" s="288">
        <f t="shared" si="14"/>
        <v>0</v>
      </c>
      <c r="AY84" s="327">
        <f t="shared" si="8"/>
        <v>0</v>
      </c>
      <c r="AZ84" s="288">
        <f t="shared" si="11"/>
        <v>0</v>
      </c>
      <c r="BA84" s="288"/>
    </row>
    <row r="85" spans="45:53" s="246" customFormat="1" ht="15" x14ac:dyDescent="0.2">
      <c r="AS85" s="288" t="str">
        <f t="shared" si="9"/>
        <v/>
      </c>
      <c r="AT85" s="326">
        <f t="shared" si="12"/>
        <v>0</v>
      </c>
      <c r="AU85" s="326"/>
      <c r="AV85" s="326">
        <f t="shared" si="10"/>
        <v>0</v>
      </c>
      <c r="AW85" s="326">
        <f t="shared" si="13"/>
        <v>0</v>
      </c>
      <c r="AX85" s="288">
        <f t="shared" si="14"/>
        <v>0</v>
      </c>
      <c r="AY85" s="327">
        <f t="shared" si="8"/>
        <v>0</v>
      </c>
      <c r="AZ85" s="288">
        <f t="shared" si="11"/>
        <v>0</v>
      </c>
      <c r="BA85" s="288"/>
    </row>
    <row r="86" spans="45:53" s="246" customFormat="1" ht="15" x14ac:dyDescent="0.2">
      <c r="AS86" s="288" t="str">
        <f t="shared" si="9"/>
        <v/>
      </c>
      <c r="AT86" s="326">
        <f t="shared" si="12"/>
        <v>0</v>
      </c>
      <c r="AU86" s="326"/>
      <c r="AV86" s="326">
        <f t="shared" si="10"/>
        <v>0</v>
      </c>
      <c r="AW86" s="326">
        <f t="shared" si="13"/>
        <v>0</v>
      </c>
      <c r="AX86" s="288">
        <f t="shared" si="14"/>
        <v>0</v>
      </c>
      <c r="AY86" s="327">
        <f t="shared" si="8"/>
        <v>0</v>
      </c>
      <c r="AZ86" s="288">
        <f t="shared" si="11"/>
        <v>0</v>
      </c>
      <c r="BA86" s="288"/>
    </row>
    <row r="87" spans="45:53" s="246" customFormat="1" ht="15" x14ac:dyDescent="0.2">
      <c r="AS87" s="288" t="str">
        <f t="shared" si="9"/>
        <v/>
      </c>
      <c r="AT87" s="326">
        <f t="shared" si="12"/>
        <v>0</v>
      </c>
      <c r="AU87" s="326"/>
      <c r="AV87" s="326">
        <f t="shared" si="10"/>
        <v>0</v>
      </c>
      <c r="AW87" s="326">
        <f t="shared" si="13"/>
        <v>0</v>
      </c>
      <c r="AX87" s="288">
        <f t="shared" si="14"/>
        <v>0</v>
      </c>
      <c r="AY87" s="327">
        <f t="shared" si="8"/>
        <v>0</v>
      </c>
      <c r="AZ87" s="288">
        <f t="shared" si="11"/>
        <v>0</v>
      </c>
      <c r="BA87" s="288"/>
    </row>
    <row r="88" spans="45:53" s="246" customFormat="1" ht="15" x14ac:dyDescent="0.2">
      <c r="AS88" s="288" t="str">
        <f t="shared" si="9"/>
        <v/>
      </c>
      <c r="AT88" s="326">
        <f t="shared" si="12"/>
        <v>0</v>
      </c>
      <c r="AU88" s="326"/>
      <c r="AV88" s="326">
        <f t="shared" si="10"/>
        <v>0</v>
      </c>
      <c r="AW88" s="326">
        <f t="shared" si="13"/>
        <v>0</v>
      </c>
      <c r="AX88" s="288">
        <f t="shared" si="14"/>
        <v>0</v>
      </c>
      <c r="AY88" s="327">
        <f t="shared" si="8"/>
        <v>0</v>
      </c>
      <c r="AZ88" s="288">
        <f t="shared" si="11"/>
        <v>0</v>
      </c>
      <c r="BA88" s="288"/>
    </row>
    <row r="89" spans="45:53" s="246" customFormat="1" ht="15" x14ac:dyDescent="0.2">
      <c r="AS89" s="288" t="str">
        <f t="shared" si="9"/>
        <v/>
      </c>
      <c r="AT89" s="326">
        <f t="shared" si="12"/>
        <v>0</v>
      </c>
      <c r="AU89" s="326"/>
      <c r="AV89" s="326">
        <f t="shared" si="10"/>
        <v>0</v>
      </c>
      <c r="AW89" s="326">
        <f t="shared" si="13"/>
        <v>0</v>
      </c>
      <c r="AX89" s="288">
        <f t="shared" si="14"/>
        <v>0</v>
      </c>
      <c r="AY89" s="327">
        <f t="shared" si="8"/>
        <v>0</v>
      </c>
      <c r="AZ89" s="288">
        <f t="shared" si="11"/>
        <v>0</v>
      </c>
      <c r="BA89" s="288"/>
    </row>
    <row r="90" spans="45:53" s="246" customFormat="1" ht="15" x14ac:dyDescent="0.2">
      <c r="AS90" s="288" t="str">
        <f t="shared" si="9"/>
        <v/>
      </c>
      <c r="AT90" s="326">
        <f t="shared" si="12"/>
        <v>0</v>
      </c>
      <c r="AU90" s="326"/>
      <c r="AV90" s="326">
        <f t="shared" si="10"/>
        <v>0</v>
      </c>
      <c r="AW90" s="326">
        <f t="shared" si="13"/>
        <v>0</v>
      </c>
      <c r="AX90" s="288">
        <f t="shared" si="14"/>
        <v>0</v>
      </c>
      <c r="AY90" s="327">
        <f t="shared" si="8"/>
        <v>0</v>
      </c>
      <c r="AZ90" s="288">
        <f t="shared" si="11"/>
        <v>0</v>
      </c>
      <c r="BA90" s="288"/>
    </row>
    <row r="91" spans="45:53" s="246" customFormat="1" ht="15" x14ac:dyDescent="0.2">
      <c r="AS91" s="288" t="str">
        <f t="shared" si="9"/>
        <v/>
      </c>
      <c r="AT91" s="326">
        <f t="shared" si="12"/>
        <v>0</v>
      </c>
      <c r="AU91" s="326"/>
      <c r="AV91" s="326">
        <f t="shared" si="10"/>
        <v>0</v>
      </c>
      <c r="AW91" s="326">
        <f t="shared" si="13"/>
        <v>0</v>
      </c>
      <c r="AX91" s="288">
        <f t="shared" si="14"/>
        <v>0</v>
      </c>
      <c r="AY91" s="327">
        <f t="shared" si="8"/>
        <v>0</v>
      </c>
      <c r="AZ91" s="288">
        <f t="shared" si="11"/>
        <v>0</v>
      </c>
      <c r="BA91" s="288"/>
    </row>
    <row r="92" spans="45:53" s="246" customFormat="1" ht="15" x14ac:dyDescent="0.2">
      <c r="AS92" s="288" t="str">
        <f t="shared" si="9"/>
        <v/>
      </c>
      <c r="AT92" s="326">
        <f t="shared" si="12"/>
        <v>0</v>
      </c>
      <c r="AU92" s="326"/>
      <c r="AV92" s="326">
        <f t="shared" si="10"/>
        <v>0</v>
      </c>
      <c r="AW92" s="326">
        <f t="shared" si="13"/>
        <v>0</v>
      </c>
      <c r="AX92" s="288">
        <f t="shared" si="14"/>
        <v>0</v>
      </c>
      <c r="AY92" s="327">
        <f t="shared" si="8"/>
        <v>0</v>
      </c>
      <c r="AZ92" s="288">
        <f t="shared" si="11"/>
        <v>0</v>
      </c>
      <c r="BA92" s="288"/>
    </row>
    <row r="93" spans="45:53" s="246" customFormat="1" ht="15" x14ac:dyDescent="0.2">
      <c r="AS93" s="288" t="str">
        <f t="shared" si="9"/>
        <v/>
      </c>
      <c r="AT93" s="326">
        <f t="shared" si="12"/>
        <v>0</v>
      </c>
      <c r="AU93" s="326"/>
      <c r="AV93" s="326">
        <f t="shared" si="10"/>
        <v>0</v>
      </c>
      <c r="AW93" s="326">
        <f t="shared" si="13"/>
        <v>0</v>
      </c>
      <c r="AX93" s="288">
        <f t="shared" si="14"/>
        <v>0</v>
      </c>
      <c r="AY93" s="327">
        <f t="shared" si="8"/>
        <v>0</v>
      </c>
      <c r="AZ93" s="288">
        <f t="shared" si="11"/>
        <v>0</v>
      </c>
      <c r="BA93" s="288"/>
    </row>
    <row r="94" spans="45:53" s="246" customFormat="1" ht="15" x14ac:dyDescent="0.2">
      <c r="AS94" s="288" t="str">
        <f t="shared" si="9"/>
        <v/>
      </c>
      <c r="AT94" s="326">
        <f t="shared" si="12"/>
        <v>0</v>
      </c>
      <c r="AU94" s="326"/>
      <c r="AV94" s="326">
        <f t="shared" si="10"/>
        <v>0</v>
      </c>
      <c r="AW94" s="326">
        <f t="shared" si="13"/>
        <v>0</v>
      </c>
      <c r="AX94" s="288">
        <f t="shared" si="14"/>
        <v>0</v>
      </c>
      <c r="AY94" s="327">
        <f t="shared" si="8"/>
        <v>0</v>
      </c>
      <c r="AZ94" s="288">
        <f t="shared" si="11"/>
        <v>0</v>
      </c>
      <c r="BA94" s="288"/>
    </row>
    <row r="95" spans="45:53" s="246" customFormat="1" ht="15" x14ac:dyDescent="0.2">
      <c r="AS95" s="288" t="str">
        <f t="shared" si="9"/>
        <v/>
      </c>
      <c r="AT95" s="326">
        <f t="shared" si="12"/>
        <v>0</v>
      </c>
      <c r="AU95" s="326"/>
      <c r="AV95" s="326">
        <f t="shared" si="10"/>
        <v>0</v>
      </c>
      <c r="AW95" s="326">
        <f t="shared" si="13"/>
        <v>0</v>
      </c>
      <c r="AX95" s="288">
        <f t="shared" si="14"/>
        <v>0</v>
      </c>
      <c r="AY95" s="327">
        <f t="shared" si="8"/>
        <v>0</v>
      </c>
      <c r="AZ95" s="288">
        <f t="shared" si="11"/>
        <v>0</v>
      </c>
      <c r="BA95" s="288"/>
    </row>
    <row r="96" spans="45:53" s="246" customFormat="1" ht="15" x14ac:dyDescent="0.2">
      <c r="AS96" s="288" t="str">
        <f t="shared" si="9"/>
        <v/>
      </c>
      <c r="AT96" s="326">
        <f t="shared" si="12"/>
        <v>0</v>
      </c>
      <c r="AU96" s="326"/>
      <c r="AV96" s="326">
        <f t="shared" si="10"/>
        <v>0</v>
      </c>
      <c r="AW96" s="326">
        <f t="shared" si="13"/>
        <v>0</v>
      </c>
      <c r="AX96" s="288">
        <f t="shared" si="14"/>
        <v>0</v>
      </c>
      <c r="AY96" s="327">
        <f t="shared" si="8"/>
        <v>0</v>
      </c>
      <c r="AZ96" s="288">
        <f t="shared" si="11"/>
        <v>0</v>
      </c>
      <c r="BA96" s="288"/>
    </row>
    <row r="97" spans="45:53" s="246" customFormat="1" ht="15" x14ac:dyDescent="0.2">
      <c r="AS97" s="288" t="str">
        <f t="shared" si="9"/>
        <v/>
      </c>
      <c r="AT97" s="326">
        <f t="shared" si="12"/>
        <v>0</v>
      </c>
      <c r="AU97" s="326"/>
      <c r="AV97" s="326">
        <f t="shared" si="10"/>
        <v>0</v>
      </c>
      <c r="AW97" s="326">
        <f t="shared" si="13"/>
        <v>0</v>
      </c>
      <c r="AX97" s="288">
        <f t="shared" si="14"/>
        <v>0</v>
      </c>
      <c r="AY97" s="327">
        <f t="shared" si="8"/>
        <v>0</v>
      </c>
      <c r="AZ97" s="288">
        <f t="shared" si="11"/>
        <v>0</v>
      </c>
      <c r="BA97" s="288"/>
    </row>
    <row r="98" spans="45:53" s="246" customFormat="1" ht="15" x14ac:dyDescent="0.2">
      <c r="AS98" s="288" t="str">
        <f t="shared" si="9"/>
        <v/>
      </c>
      <c r="AT98" s="326">
        <f t="shared" si="12"/>
        <v>0</v>
      </c>
      <c r="AU98" s="326"/>
      <c r="AV98" s="326">
        <f t="shared" si="10"/>
        <v>0</v>
      </c>
      <c r="AW98" s="326">
        <f t="shared" si="13"/>
        <v>0</v>
      </c>
      <c r="AX98" s="288">
        <f t="shared" si="14"/>
        <v>0</v>
      </c>
      <c r="AY98" s="327">
        <f t="shared" si="8"/>
        <v>0</v>
      </c>
      <c r="AZ98" s="288">
        <f t="shared" si="11"/>
        <v>0</v>
      </c>
      <c r="BA98" s="288"/>
    </row>
    <row r="99" spans="45:53" s="246" customFormat="1" ht="15" x14ac:dyDescent="0.2">
      <c r="AS99" s="288" t="str">
        <f t="shared" si="9"/>
        <v/>
      </c>
      <c r="AT99" s="326">
        <f t="shared" si="12"/>
        <v>0</v>
      </c>
      <c r="AU99" s="326"/>
      <c r="AV99" s="326">
        <f t="shared" si="10"/>
        <v>0</v>
      </c>
      <c r="AW99" s="326">
        <f t="shared" si="13"/>
        <v>0</v>
      </c>
      <c r="AX99" s="288">
        <f t="shared" si="14"/>
        <v>0</v>
      </c>
      <c r="AY99" s="327">
        <f t="shared" si="8"/>
        <v>0</v>
      </c>
      <c r="AZ99" s="288">
        <f t="shared" si="11"/>
        <v>0</v>
      </c>
      <c r="BA99" s="288"/>
    </row>
    <row r="100" spans="45:53" s="246" customFormat="1" ht="15" x14ac:dyDescent="0.2">
      <c r="AS100" s="288" t="str">
        <f t="shared" si="9"/>
        <v/>
      </c>
      <c r="AT100" s="326">
        <f t="shared" si="12"/>
        <v>0</v>
      </c>
      <c r="AU100" s="326"/>
      <c r="AV100" s="326">
        <f t="shared" si="10"/>
        <v>0</v>
      </c>
      <c r="AW100" s="326">
        <f t="shared" si="13"/>
        <v>0</v>
      </c>
      <c r="AX100" s="288">
        <f t="shared" si="14"/>
        <v>0</v>
      </c>
      <c r="AY100" s="327">
        <f t="shared" si="8"/>
        <v>0</v>
      </c>
      <c r="AZ100" s="288">
        <f t="shared" si="11"/>
        <v>0</v>
      </c>
      <c r="BA100" s="288"/>
    </row>
    <row r="101" spans="45:53" s="246" customFormat="1" ht="15" x14ac:dyDescent="0.2">
      <c r="AS101" s="288" t="str">
        <f t="shared" si="9"/>
        <v/>
      </c>
      <c r="AT101" s="326">
        <f t="shared" si="12"/>
        <v>0</v>
      </c>
      <c r="AU101" s="326"/>
      <c r="AV101" s="326">
        <f t="shared" si="10"/>
        <v>0</v>
      </c>
      <c r="AW101" s="326">
        <f t="shared" si="13"/>
        <v>0</v>
      </c>
      <c r="AX101" s="288">
        <f t="shared" si="14"/>
        <v>0</v>
      </c>
      <c r="AY101" s="327">
        <f t="shared" si="8"/>
        <v>0</v>
      </c>
      <c r="AZ101" s="288">
        <f t="shared" si="11"/>
        <v>0</v>
      </c>
      <c r="BA101" s="288"/>
    </row>
    <row r="102" spans="45:53" s="246" customFormat="1" ht="15" x14ac:dyDescent="0.2">
      <c r="AS102" s="288" t="str">
        <f t="shared" si="9"/>
        <v/>
      </c>
      <c r="AT102" s="326">
        <f t="shared" si="12"/>
        <v>0</v>
      </c>
      <c r="AU102" s="326"/>
      <c r="AV102" s="326">
        <f t="shared" si="10"/>
        <v>0</v>
      </c>
      <c r="AW102" s="326">
        <f t="shared" si="13"/>
        <v>0</v>
      </c>
      <c r="AX102" s="288">
        <f t="shared" si="14"/>
        <v>0</v>
      </c>
      <c r="AY102" s="327">
        <f t="shared" si="8"/>
        <v>0</v>
      </c>
      <c r="AZ102" s="288">
        <f t="shared" si="11"/>
        <v>0</v>
      </c>
      <c r="BA102" s="288"/>
    </row>
    <row r="103" spans="45:53" s="246" customFormat="1" ht="15" x14ac:dyDescent="0.2">
      <c r="AS103" s="288" t="str">
        <f t="shared" si="9"/>
        <v/>
      </c>
      <c r="AT103" s="326">
        <f t="shared" si="12"/>
        <v>0</v>
      </c>
      <c r="AU103" s="326"/>
      <c r="AV103" s="326">
        <f t="shared" si="10"/>
        <v>0</v>
      </c>
      <c r="AW103" s="326">
        <f t="shared" si="13"/>
        <v>0</v>
      </c>
      <c r="AX103" s="288">
        <f t="shared" si="14"/>
        <v>0</v>
      </c>
      <c r="AY103" s="327">
        <f t="shared" ref="AY103:AY114" si="15">LN(AX103+$J$37)-LN($J$37)</f>
        <v>0</v>
      </c>
      <c r="AZ103" s="288">
        <f t="shared" si="11"/>
        <v>0</v>
      </c>
      <c r="BA103" s="288"/>
    </row>
    <row r="104" spans="45:53" s="246" customFormat="1" ht="15" x14ac:dyDescent="0.2">
      <c r="AS104" s="288" t="str">
        <f t="shared" si="9"/>
        <v/>
      </c>
      <c r="AT104" s="326">
        <f t="shared" si="12"/>
        <v>0</v>
      </c>
      <c r="AU104" s="326"/>
      <c r="AV104" s="326">
        <f t="shared" si="10"/>
        <v>0</v>
      </c>
      <c r="AW104" s="326">
        <f t="shared" si="13"/>
        <v>0</v>
      </c>
      <c r="AX104" s="288">
        <f t="shared" si="14"/>
        <v>0</v>
      </c>
      <c r="AY104" s="327">
        <f t="shared" si="15"/>
        <v>0</v>
      </c>
      <c r="AZ104" s="288">
        <f t="shared" si="11"/>
        <v>0</v>
      </c>
      <c r="BA104" s="288"/>
    </row>
    <row r="105" spans="45:53" s="246" customFormat="1" ht="15" x14ac:dyDescent="0.2">
      <c r="AS105" s="288" t="str">
        <f t="shared" si="9"/>
        <v/>
      </c>
      <c r="AT105" s="326">
        <f t="shared" si="12"/>
        <v>0</v>
      </c>
      <c r="AU105" s="326"/>
      <c r="AV105" s="326">
        <f t="shared" si="10"/>
        <v>0</v>
      </c>
      <c r="AW105" s="326">
        <f t="shared" si="13"/>
        <v>0</v>
      </c>
      <c r="AX105" s="288">
        <f t="shared" si="14"/>
        <v>0</v>
      </c>
      <c r="AY105" s="327">
        <f t="shared" si="15"/>
        <v>0</v>
      </c>
      <c r="AZ105" s="288">
        <f t="shared" si="11"/>
        <v>0</v>
      </c>
      <c r="BA105" s="288"/>
    </row>
    <row r="106" spans="45:53" s="246" customFormat="1" ht="15" x14ac:dyDescent="0.2">
      <c r="AS106" s="288" t="str">
        <f t="shared" si="9"/>
        <v/>
      </c>
      <c r="AT106" s="326">
        <f t="shared" si="12"/>
        <v>0</v>
      </c>
      <c r="AU106" s="326"/>
      <c r="AV106" s="326">
        <f t="shared" si="10"/>
        <v>0</v>
      </c>
      <c r="AW106" s="326">
        <f t="shared" si="13"/>
        <v>0</v>
      </c>
      <c r="AX106" s="288">
        <f t="shared" si="14"/>
        <v>0</v>
      </c>
      <c r="AY106" s="327">
        <f t="shared" si="15"/>
        <v>0</v>
      </c>
      <c r="AZ106" s="288">
        <f t="shared" si="11"/>
        <v>0</v>
      </c>
      <c r="BA106" s="288"/>
    </row>
    <row r="107" spans="45:53" s="246" customFormat="1" ht="15" x14ac:dyDescent="0.2">
      <c r="AS107" s="288" t="str">
        <f t="shared" si="9"/>
        <v/>
      </c>
      <c r="AT107" s="326">
        <f t="shared" si="12"/>
        <v>0</v>
      </c>
      <c r="AU107" s="326"/>
      <c r="AV107" s="326">
        <f t="shared" si="10"/>
        <v>0</v>
      </c>
      <c r="AW107" s="326">
        <f t="shared" si="13"/>
        <v>0</v>
      </c>
      <c r="AX107" s="288">
        <f t="shared" si="14"/>
        <v>0</v>
      </c>
      <c r="AY107" s="327">
        <f t="shared" si="15"/>
        <v>0</v>
      </c>
      <c r="AZ107" s="288">
        <f t="shared" si="11"/>
        <v>0</v>
      </c>
      <c r="BA107" s="288"/>
    </row>
    <row r="108" spans="45:53" s="246" customFormat="1" ht="15" x14ac:dyDescent="0.2">
      <c r="AS108" s="288" t="str">
        <f t="shared" si="9"/>
        <v/>
      </c>
      <c r="AT108" s="326">
        <f t="shared" si="12"/>
        <v>0</v>
      </c>
      <c r="AU108" s="326"/>
      <c r="AV108" s="326">
        <f t="shared" si="10"/>
        <v>0</v>
      </c>
      <c r="AW108" s="326">
        <f t="shared" si="13"/>
        <v>0</v>
      </c>
      <c r="AX108" s="288">
        <f t="shared" si="14"/>
        <v>0</v>
      </c>
      <c r="AY108" s="327">
        <f t="shared" si="15"/>
        <v>0</v>
      </c>
      <c r="AZ108" s="288">
        <f t="shared" si="11"/>
        <v>0</v>
      </c>
      <c r="BA108" s="288"/>
    </row>
    <row r="109" spans="45:53" s="246" customFormat="1" ht="15" x14ac:dyDescent="0.2">
      <c r="AS109" s="288" t="str">
        <f t="shared" si="9"/>
        <v/>
      </c>
      <c r="AT109" s="326">
        <f t="shared" si="12"/>
        <v>0</v>
      </c>
      <c r="AU109" s="326"/>
      <c r="AV109" s="326">
        <f t="shared" si="10"/>
        <v>0</v>
      </c>
      <c r="AW109" s="326">
        <f t="shared" si="13"/>
        <v>0</v>
      </c>
      <c r="AX109" s="288">
        <f t="shared" si="14"/>
        <v>0</v>
      </c>
      <c r="AY109" s="327">
        <f t="shared" si="15"/>
        <v>0</v>
      </c>
      <c r="AZ109" s="288">
        <f t="shared" si="11"/>
        <v>0</v>
      </c>
      <c r="BA109" s="288"/>
    </row>
    <row r="110" spans="45:53" s="246" customFormat="1" ht="15" x14ac:dyDescent="0.2">
      <c r="AS110" s="288" t="str">
        <f t="shared" si="9"/>
        <v/>
      </c>
      <c r="AT110" s="326">
        <f t="shared" si="12"/>
        <v>0</v>
      </c>
      <c r="AU110" s="326"/>
      <c r="AV110" s="326">
        <f t="shared" si="10"/>
        <v>0</v>
      </c>
      <c r="AW110" s="326">
        <f t="shared" si="13"/>
        <v>0</v>
      </c>
      <c r="AX110" s="288">
        <f t="shared" si="14"/>
        <v>0</v>
      </c>
      <c r="AY110" s="327">
        <f t="shared" si="15"/>
        <v>0</v>
      </c>
      <c r="AZ110" s="288">
        <f t="shared" si="11"/>
        <v>0</v>
      </c>
      <c r="BA110" s="288"/>
    </row>
    <row r="111" spans="45:53" s="246" customFormat="1" ht="15" x14ac:dyDescent="0.2">
      <c r="AS111" s="288" t="str">
        <f t="shared" si="9"/>
        <v/>
      </c>
      <c r="AT111" s="326">
        <f t="shared" si="12"/>
        <v>0</v>
      </c>
      <c r="AU111" s="326"/>
      <c r="AV111" s="326">
        <f t="shared" si="10"/>
        <v>0</v>
      </c>
      <c r="AW111" s="326">
        <f t="shared" si="13"/>
        <v>0</v>
      </c>
      <c r="AX111" s="288">
        <f t="shared" si="14"/>
        <v>0</v>
      </c>
      <c r="AY111" s="327">
        <f t="shared" si="15"/>
        <v>0</v>
      </c>
      <c r="AZ111" s="288">
        <f t="shared" si="11"/>
        <v>0</v>
      </c>
      <c r="BA111" s="288"/>
    </row>
    <row r="112" spans="45:53" s="246" customFormat="1" ht="15" x14ac:dyDescent="0.2">
      <c r="AS112" s="288" t="str">
        <f t="shared" si="9"/>
        <v/>
      </c>
      <c r="AT112" s="326">
        <f t="shared" si="12"/>
        <v>0</v>
      </c>
      <c r="AU112" s="326"/>
      <c r="AV112" s="326">
        <f t="shared" si="10"/>
        <v>0</v>
      </c>
      <c r="AW112" s="326">
        <f t="shared" si="13"/>
        <v>0</v>
      </c>
      <c r="AX112" s="288">
        <f t="shared" si="14"/>
        <v>0</v>
      </c>
      <c r="AY112" s="327">
        <f t="shared" si="15"/>
        <v>0</v>
      </c>
      <c r="AZ112" s="288">
        <f t="shared" si="11"/>
        <v>0</v>
      </c>
      <c r="BA112" s="288"/>
    </row>
    <row r="113" spans="45:53" s="246" customFormat="1" ht="15" x14ac:dyDescent="0.2">
      <c r="AS113" s="288" t="str">
        <f t="shared" si="9"/>
        <v/>
      </c>
      <c r="AT113" s="326">
        <f t="shared" si="12"/>
        <v>0</v>
      </c>
      <c r="AU113" s="326"/>
      <c r="AV113" s="326">
        <f t="shared" si="10"/>
        <v>0</v>
      </c>
      <c r="AW113" s="326">
        <f t="shared" si="13"/>
        <v>0</v>
      </c>
      <c r="AX113" s="288">
        <f t="shared" si="14"/>
        <v>0</v>
      </c>
      <c r="AY113" s="327">
        <f t="shared" si="15"/>
        <v>0</v>
      </c>
      <c r="AZ113" s="288">
        <f t="shared" si="11"/>
        <v>0</v>
      </c>
      <c r="BA113" s="288"/>
    </row>
    <row r="114" spans="45:53" s="246" customFormat="1" ht="15" x14ac:dyDescent="0.2">
      <c r="AS114" s="288" t="str">
        <f t="shared" si="9"/>
        <v/>
      </c>
      <c r="AT114" s="326">
        <f t="shared" si="12"/>
        <v>0</v>
      </c>
      <c r="AU114" s="326"/>
      <c r="AV114" s="326">
        <f t="shared" si="10"/>
        <v>0</v>
      </c>
      <c r="AW114" s="326">
        <f t="shared" si="13"/>
        <v>0</v>
      </c>
      <c r="AX114" s="288">
        <f t="shared" si="14"/>
        <v>0</v>
      </c>
      <c r="AY114" s="327">
        <f t="shared" si="15"/>
        <v>0</v>
      </c>
      <c r="AZ114" s="288">
        <f t="shared" si="11"/>
        <v>0</v>
      </c>
      <c r="BA114" s="288"/>
    </row>
    <row r="115" spans="45:53" s="246" customFormat="1" ht="15" x14ac:dyDescent="0.2">
      <c r="BA115" s="288"/>
    </row>
    <row r="116" spans="45:53" s="246" customFormat="1" ht="15" x14ac:dyDescent="0.2">
      <c r="BA116" s="288"/>
    </row>
    <row r="117" spans="45:53" s="246" customFormat="1" ht="15" x14ac:dyDescent="0.2">
      <c r="BA117" s="288"/>
    </row>
    <row r="118" spans="45:53" s="246" customFormat="1" ht="15" x14ac:dyDescent="0.2">
      <c r="BA118" s="288"/>
    </row>
    <row r="119" spans="45:53" ht="15" x14ac:dyDescent="0.2">
      <c r="BA119" s="232"/>
    </row>
  </sheetData>
  <mergeCells count="68">
    <mergeCell ref="S2:T3"/>
    <mergeCell ref="Z2:AB3"/>
    <mergeCell ref="B4:D5"/>
    <mergeCell ref="F4:G5"/>
    <mergeCell ref="T4:U4"/>
    <mergeCell ref="V4:W4"/>
    <mergeCell ref="T5:U5"/>
    <mergeCell ref="V5:W5"/>
    <mergeCell ref="AE6:AE7"/>
    <mergeCell ref="B7:B11"/>
    <mergeCell ref="Q8:Q11"/>
    <mergeCell ref="T8:U8"/>
    <mergeCell ref="V8:W8"/>
    <mergeCell ref="C9:D9"/>
    <mergeCell ref="T9:U9"/>
    <mergeCell ref="V9:W9"/>
    <mergeCell ref="Z9:AA9"/>
    <mergeCell ref="T10:U10"/>
    <mergeCell ref="C6:D6"/>
    <mergeCell ref="I6:J6"/>
    <mergeCell ref="L6:M6"/>
    <mergeCell ref="T6:U6"/>
    <mergeCell ref="V6:W6"/>
    <mergeCell ref="AD6:AD7"/>
    <mergeCell ref="V10:W10"/>
    <mergeCell ref="Z10:AA10"/>
    <mergeCell ref="T11:U11"/>
    <mergeCell ref="V11:W11"/>
    <mergeCell ref="T12:U12"/>
    <mergeCell ref="V12:W12"/>
    <mergeCell ref="Q13:Q14"/>
    <mergeCell ref="T13:U13"/>
    <mergeCell ref="V13:W13"/>
    <mergeCell ref="B14:B18"/>
    <mergeCell ref="C14:C15"/>
    <mergeCell ref="D14:D15"/>
    <mergeCell ref="F14:F15"/>
    <mergeCell ref="G14:G15"/>
    <mergeCell ref="T14:U14"/>
    <mergeCell ref="V14:W14"/>
    <mergeCell ref="T15:U15"/>
    <mergeCell ref="C16:C17"/>
    <mergeCell ref="D16:D17"/>
    <mergeCell ref="F16:F17"/>
    <mergeCell ref="G16:G17"/>
    <mergeCell ref="T16:U16"/>
    <mergeCell ref="L17:M17"/>
    <mergeCell ref="T17:U17"/>
    <mergeCell ref="T18:U18"/>
    <mergeCell ref="T19:U19"/>
    <mergeCell ref="F21:F24"/>
    <mergeCell ref="Q21:Q25"/>
    <mergeCell ref="R21:S22"/>
    <mergeCell ref="U21:W22"/>
    <mergeCell ref="J37:N37"/>
    <mergeCell ref="O37:P37"/>
    <mergeCell ref="D38:G38"/>
    <mergeCell ref="R38:T38"/>
    <mergeCell ref="B23:E26"/>
    <mergeCell ref="F31:F34"/>
    <mergeCell ref="R33:V33"/>
    <mergeCell ref="B36:B38"/>
    <mergeCell ref="D36:F36"/>
    <mergeCell ref="H36:I36"/>
    <mergeCell ref="J36:N36"/>
    <mergeCell ref="O36:P36"/>
    <mergeCell ref="D37:F37"/>
    <mergeCell ref="H37:I37"/>
  </mergeCells>
  <phoneticPr fontId="49" type="noConversion"/>
  <dataValidations count="3">
    <dataValidation type="list" allowBlank="1" showInputMessage="1" sqref="K9">
      <formula1>$C$30:$G$30</formula1>
    </dataValidation>
    <dataValidation type="list" allowBlank="1" showInputMessage="1" sqref="K14">
      <formula1>$C$21:$G$21</formula1>
    </dataValidation>
    <dataValidation type="list" allowBlank="1" showInputMessage="1" sqref="K15">
      <formula1>$C$28:$G$28</formula1>
    </dataValidation>
  </dataValidations>
  <hyperlinks>
    <hyperlink ref="H38" r:id="rId1" location="Grantstructure"/>
  </hyperlinks>
  <pageMargins left="0.7" right="0.7" top="0.75" bottom="0.75" header="0.3" footer="0.3"/>
  <legacyDrawing r:id="rId2"/>
  <extLst>
    <ext xmlns:x14="http://schemas.microsoft.com/office/spreadsheetml/2009/9/main" uri="{CCE6A557-97BC-4b89-ADB6-D9C93CAAB3DF}">
      <x14:dataValidations xmlns:xm="http://schemas.microsoft.com/office/excel/2006/main" count="36">
        <x14:dataValidation type="list" allowBlank="1" showInputMessage="1">
          <x14:formula1>
            <xm:f>Parameters!$D$5:$H$5</xm:f>
          </x14:formula1>
          <xm:sqref>G7</xm:sqref>
        </x14:dataValidation>
        <x14:dataValidation type="list" allowBlank="1" showInputMessage="1">
          <x14:formula1>
            <xm:f>Parameters!$D$9:$H$9</xm:f>
          </x14:formula1>
          <xm:sqref>G10</xm:sqref>
        </x14:dataValidation>
        <x14:dataValidation type="list" allowBlank="1" showInputMessage="1">
          <x14:formula1>
            <xm:f>Parameters!$D$8:$H$8</xm:f>
          </x14:formula1>
          <xm:sqref>G8</xm:sqref>
        </x14:dataValidation>
        <x14:dataValidation type="list" allowBlank="1" showInputMessage="1">
          <x14:formula1>
            <xm:f>Parameters!$D$32:$H$32</xm:f>
          </x14:formula1>
          <xm:sqref>G18</xm:sqref>
        </x14:dataValidation>
        <x14:dataValidation type="list" allowBlank="1" showInputMessage="1">
          <x14:formula1>
            <xm:f>Parameters!$D$7:$H$7</xm:f>
          </x14:formula1>
          <xm:sqref>G9</xm:sqref>
        </x14:dataValidation>
        <x14:dataValidation type="list" allowBlank="1" showInputMessage="1">
          <x14:formula1>
            <xm:f>Parameters!$D$4:$H$4</xm:f>
          </x14:formula1>
          <xm:sqref>D7</xm:sqref>
        </x14:dataValidation>
        <x14:dataValidation type="list" allowBlank="1" showInputMessage="1">
          <x14:formula1>
            <xm:f>Parameters!$D$14:$H$14</xm:f>
          </x14:formula1>
          <xm:sqref>J17:K17</xm:sqref>
        </x14:dataValidation>
        <x14:dataValidation type="list" allowBlank="1" showInputMessage="1">
          <x14:formula1>
            <xm:f>Parameters!$D$17:$H$17</xm:f>
          </x14:formula1>
          <xm:sqref>J18:K18</xm:sqref>
        </x14:dataValidation>
        <x14:dataValidation type="list" allowBlank="1" showInputMessage="1">
          <x14:formula1>
            <xm:f>Parameters!$D$21:$H$21</xm:f>
          </x14:formula1>
          <xm:sqref>J16:K16</xm:sqref>
        </x14:dataValidation>
        <x14:dataValidation type="list" allowBlank="1" showInputMessage="1">
          <x14:formula1>
            <xm:f>Parameters!$D$18:$H$18</xm:f>
          </x14:formula1>
          <xm:sqref>J10</xm:sqref>
        </x14:dataValidation>
        <x14:dataValidation type="list" allowBlank="1" showInputMessage="1">
          <x14:formula1>
            <xm:f>Parameters!$E$23:$G$23</xm:f>
          </x14:formula1>
          <xm:sqref>K7</xm:sqref>
        </x14:dataValidation>
        <x14:dataValidation type="list" allowBlank="1" showInputMessage="1">
          <x14:formula1>
            <xm:f>Parameters!$D$23:$H$23</xm:f>
          </x14:formula1>
          <xm:sqref>J7</xm:sqref>
        </x14:dataValidation>
        <x14:dataValidation type="list" allowBlank="1" showInputMessage="1">
          <x14:formula1>
            <xm:f>Parameters!$E$16:$I$16</xm:f>
          </x14:formula1>
          <xm:sqref>K10</xm:sqref>
        </x14:dataValidation>
        <x14:dataValidation type="list" allowBlank="1" showInputMessage="1">
          <x14:formula1>
            <xm:f>Parameters!$D$16:$H$16</xm:f>
          </x14:formula1>
          <xm:sqref>J8</xm:sqref>
        </x14:dataValidation>
        <x14:dataValidation type="list" allowBlank="1" showInputMessage="1">
          <x14:formula1>
            <xm:f>Parameters!$D$36:$H$36</xm:f>
          </x14:formula1>
          <xm:sqref>M7</xm:sqref>
        </x14:dataValidation>
        <x14:dataValidation type="list" allowBlank="1" showInputMessage="1">
          <x14:formula1>
            <xm:f>Parameters!$D$37:$H$37</xm:f>
          </x14:formula1>
          <xm:sqref>M8</xm:sqref>
        </x14:dataValidation>
        <x14:dataValidation type="list" allowBlank="1" showInputMessage="1">
          <x14:formula1>
            <xm:f>Parameters!$D$38:$H$38</xm:f>
          </x14:formula1>
          <xm:sqref>M9</xm:sqref>
        </x14:dataValidation>
        <x14:dataValidation type="list" allowBlank="1" showInputMessage="1">
          <x14:formula1>
            <xm:f>Parameters!$D$39:$H$39</xm:f>
          </x14:formula1>
          <xm:sqref>M10</xm:sqref>
        </x14:dataValidation>
        <x14:dataValidation type="list" allowBlank="1" showInputMessage="1">
          <x14:formula1>
            <xm:f>Parameters!$D$40:$H$40</xm:f>
          </x14:formula1>
          <xm:sqref>M11</xm:sqref>
        </x14:dataValidation>
        <x14:dataValidation type="list" allowBlank="1" showInputMessage="1">
          <x14:formula1>
            <xm:f>Parameters!$D$41:$H$41</xm:f>
          </x14:formula1>
          <xm:sqref>M12</xm:sqref>
        </x14:dataValidation>
        <x14:dataValidation type="list" allowBlank="1" showInputMessage="1">
          <x14:formula1>
            <xm:f>Parameters!$D$42:$H$42</xm:f>
          </x14:formula1>
          <xm:sqref>M13</xm:sqref>
        </x14:dataValidation>
        <x14:dataValidation type="list" allowBlank="1" showInputMessage="1">
          <x14:formula1>
            <xm:f>Parameters!$D$43:$H$43</xm:f>
          </x14:formula1>
          <xm:sqref>M14</xm:sqref>
        </x14:dataValidation>
        <x14:dataValidation type="list" allowBlank="1" showInputMessage="1">
          <x14:formula1>
            <xm:f>Parameters!$D$44:$H$44</xm:f>
          </x14:formula1>
          <xm:sqref>M15</xm:sqref>
        </x14:dataValidation>
        <x14:dataValidation type="list" allowBlank="1" showInputMessage="1">
          <x14:formula1>
            <xm:f>Parameters!$D$25:$H$25</xm:f>
          </x14:formula1>
          <xm:sqref>J9</xm:sqref>
        </x14:dataValidation>
        <x14:dataValidation type="list" allowBlank="1" showInputMessage="1">
          <x14:formula1>
            <xm:f>Parameters!$D$24:$H$24</xm:f>
          </x14:formula1>
          <xm:sqref>J11</xm:sqref>
        </x14:dataValidation>
        <x14:dataValidation type="list" allowBlank="1" showInputMessage="1">
          <x14:formula1>
            <xm:f>Parameters!$D$15:$H$15</xm:f>
          </x14:formula1>
          <xm:sqref>J15</xm:sqref>
        </x14:dataValidation>
        <x14:dataValidation type="list" allowBlank="1" showInputMessage="1">
          <x14:formula1>
            <xm:f>Parameters!$D$22:$H$22</xm:f>
          </x14:formula1>
          <xm:sqref>J14</xm:sqref>
        </x14:dataValidation>
        <x14:dataValidation type="list" allowBlank="1" showInputMessage="1">
          <x14:formula1>
            <xm:f>Parameters!$D$28:$H$28</xm:f>
          </x14:formula1>
          <xm:sqref>G16</xm:sqref>
        </x14:dataValidation>
        <x14:dataValidation type="list" allowBlank="1" showInputMessage="1">
          <x14:formula1>
            <xm:f>Parameters!$D$10:$H$10</xm:f>
          </x14:formula1>
          <xm:sqref>G14</xm:sqref>
        </x14:dataValidation>
        <x14:dataValidation type="list" allowBlank="1" showInputMessage="1">
          <x14:formula1>
            <xm:f>Parameters!$D$56:$H$56</xm:f>
          </x14:formula1>
          <xm:sqref>D14</xm:sqref>
        </x14:dataValidation>
        <x14:dataValidation type="list" allowBlank="1" showInputMessage="1">
          <x14:formula1>
            <xm:f>Parameters!$D$55:$H$55</xm:f>
          </x14:formula1>
          <xm:sqref>D11</xm:sqref>
        </x14:dataValidation>
        <x14:dataValidation type="list" allowBlank="1" showInputMessage="1">
          <x14:formula1>
            <xm:f>Parameters!$D$54:$H$54</xm:f>
          </x14:formula1>
          <xm:sqref>D10</xm:sqref>
        </x14:dataValidation>
        <x14:dataValidation type="list" allowBlank="1" showInputMessage="1">
          <x14:formula1>
            <xm:f>Parameters!$D$57:$H$57</xm:f>
          </x14:formula1>
          <xm:sqref>D16:D17</xm:sqref>
        </x14:dataValidation>
        <x14:dataValidation type="list" allowBlank="1" showInputMessage="1">
          <x14:formula1>
            <xm:f>Parameters!$D$33:$H$33</xm:f>
          </x14:formula1>
          <xm:sqref>G11</xm:sqref>
        </x14:dataValidation>
        <x14:dataValidation type="list" allowBlank="1" showInputMessage="1">
          <x14:formula1>
            <xm:f>Parameters!$D$6:$H$6</xm:f>
          </x14:formula1>
          <xm:sqref>G13</xm:sqref>
        </x14:dataValidation>
        <x14:dataValidation type="list" allowBlank="1" showInputMessage="1">
          <x14:formula1>
            <xm:f>Parameters!$D$51:$H$51</xm:f>
          </x14:formula1>
          <xm:sqref>M18</xm:sqref>
        </x14:dataValidation>
      </x14:dataValidations>
    </ext>
  </extLs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B119"/>
  <sheetViews>
    <sheetView workbookViewId="0"/>
  </sheetViews>
  <sheetFormatPr baseColWidth="10" defaultColWidth="8.83203125" defaultRowHeight="11" x14ac:dyDescent="0.15"/>
  <cols>
    <col min="1" max="1" width="1.5" style="233" customWidth="1"/>
    <col min="2" max="2" width="9.5" style="233" customWidth="1"/>
    <col min="3" max="3" width="14.5" style="233" customWidth="1"/>
    <col min="4" max="4" width="5.83203125" style="233" customWidth="1"/>
    <col min="5" max="5" width="1.83203125" style="233" customWidth="1"/>
    <col min="6" max="6" width="21.5" style="233" customWidth="1"/>
    <col min="7" max="7" width="13.5" style="233" customWidth="1"/>
    <col min="8" max="8" width="1.5" style="233" customWidth="1"/>
    <col min="9" max="9" width="16.5" style="233" customWidth="1"/>
    <col min="10" max="10" width="8.5" style="233" customWidth="1"/>
    <col min="11" max="11" width="1.5" style="233" customWidth="1"/>
    <col min="12" max="12" width="22.83203125" style="233" customWidth="1"/>
    <col min="13" max="13" width="8.5" style="233" customWidth="1"/>
    <col min="14" max="14" width="0.83203125" style="233" customWidth="1"/>
    <col min="15" max="15" width="2.83203125" style="233" customWidth="1"/>
    <col min="16" max="16" width="2.5" style="233" customWidth="1"/>
    <col min="17" max="17" width="15.5" style="233" customWidth="1"/>
    <col min="18" max="18" width="30.83203125" style="233" customWidth="1"/>
    <col min="19" max="19" width="23.5" style="233" customWidth="1"/>
    <col min="20" max="20" width="1" style="233" customWidth="1"/>
    <col min="21" max="21" width="24.5" style="233" customWidth="1"/>
    <col min="22" max="23" width="12.5" style="233" customWidth="1"/>
    <col min="24" max="24" width="12.5" style="246" customWidth="1"/>
    <col min="25" max="25" width="13.5" style="233" customWidth="1"/>
    <col min="26" max="26" width="14.1640625" style="233" customWidth="1"/>
    <col min="27" max="28" width="11.5" style="233" customWidth="1"/>
    <col min="29" max="29" width="2.5" style="233" customWidth="1"/>
    <col min="30" max="30" width="28.5" style="233" customWidth="1"/>
    <col min="31" max="31" width="14.5" style="233" bestFit="1" customWidth="1"/>
    <col min="32" max="16384" width="8.83203125" style="233"/>
  </cols>
  <sheetData>
    <row r="1" spans="1:54" ht="6" customHeight="1" thickBot="1" x14ac:dyDescent="0.35">
      <c r="A1" s="274"/>
      <c r="B1" s="246"/>
      <c r="C1" s="246"/>
      <c r="D1" s="246"/>
      <c r="E1" s="246"/>
      <c r="F1" s="246"/>
      <c r="G1" s="246"/>
      <c r="H1" s="246"/>
      <c r="I1" s="246"/>
      <c r="J1" s="246"/>
      <c r="K1" s="246"/>
      <c r="L1" s="246"/>
      <c r="M1" s="246"/>
      <c r="N1" s="246"/>
      <c r="O1" s="246"/>
      <c r="P1" s="246"/>
      <c r="Q1" s="246"/>
      <c r="R1" s="254"/>
      <c r="S1" s="246"/>
      <c r="T1" s="246"/>
      <c r="U1" s="246"/>
      <c r="V1" s="246"/>
      <c r="W1" s="246"/>
      <c r="Y1" s="246"/>
      <c r="Z1" s="246"/>
      <c r="AA1" s="246"/>
      <c r="AB1" s="246"/>
      <c r="AC1" s="246"/>
      <c r="AD1" s="246"/>
      <c r="AE1" s="246"/>
      <c r="AF1" s="246"/>
      <c r="AG1" s="246"/>
      <c r="AH1" s="246"/>
      <c r="AI1" s="246"/>
      <c r="AJ1" s="246"/>
      <c r="AK1" s="246"/>
      <c r="AL1" s="246"/>
      <c r="AM1" s="246"/>
      <c r="AN1" s="246"/>
      <c r="AO1" s="246"/>
      <c r="AP1" s="246"/>
      <c r="AQ1" s="246"/>
    </row>
    <row r="2" spans="1:54" ht="15" customHeight="1" x14ac:dyDescent="0.25">
      <c r="A2" s="246"/>
      <c r="B2" s="246"/>
      <c r="C2" s="334"/>
      <c r="D2" s="249"/>
      <c r="E2" s="249"/>
      <c r="F2" s="246"/>
      <c r="G2" s="246"/>
      <c r="H2" s="246"/>
      <c r="I2" s="246"/>
      <c r="J2" s="246"/>
      <c r="K2" s="274"/>
      <c r="L2" s="386"/>
      <c r="M2" s="274"/>
      <c r="N2" s="246"/>
      <c r="O2" s="246"/>
      <c r="P2" s="246"/>
      <c r="Q2" s="246"/>
      <c r="S2" s="553" t="s">
        <v>409</v>
      </c>
      <c r="T2" s="554"/>
      <c r="U2" s="333"/>
      <c r="V2" s="333"/>
      <c r="W2" s="333"/>
      <c r="X2" s="333"/>
      <c r="Y2" s="246"/>
      <c r="Z2" s="557" t="s">
        <v>290</v>
      </c>
      <c r="AA2" s="558"/>
      <c r="AB2" s="559"/>
      <c r="AC2" s="246"/>
      <c r="AD2" s="246"/>
      <c r="AE2" s="246"/>
      <c r="AF2" s="246"/>
      <c r="AG2" s="246"/>
      <c r="AH2" s="246"/>
      <c r="AI2" s="246"/>
      <c r="AJ2" s="246"/>
      <c r="AK2" s="246"/>
      <c r="AL2" s="246"/>
      <c r="AM2" s="246"/>
      <c r="AN2" s="246"/>
      <c r="AO2" s="246"/>
      <c r="AP2" s="246"/>
      <c r="AQ2" s="246"/>
      <c r="AS2" s="232" t="s">
        <v>477</v>
      </c>
      <c r="AT2" s="232" t="s">
        <v>478</v>
      </c>
      <c r="AU2" s="232" t="s">
        <v>479</v>
      </c>
      <c r="AV2" s="232" t="s">
        <v>480</v>
      </c>
      <c r="AW2" s="232" t="s">
        <v>481</v>
      </c>
      <c r="AX2" s="232" t="s">
        <v>482</v>
      </c>
      <c r="AY2" s="232" t="s">
        <v>483</v>
      </c>
      <c r="AZ2" s="232" t="s">
        <v>432</v>
      </c>
      <c r="BA2" s="232" t="s">
        <v>485</v>
      </c>
    </row>
    <row r="3" spans="1:54" ht="19.5" customHeight="1" thickBot="1" x14ac:dyDescent="0.3">
      <c r="A3" s="246"/>
      <c r="B3" s="334"/>
      <c r="C3" s="334"/>
      <c r="D3" s="249"/>
      <c r="E3" s="249"/>
      <c r="F3" s="246"/>
      <c r="G3" s="246"/>
      <c r="H3" s="246"/>
      <c r="I3" s="246"/>
      <c r="J3" s="246"/>
      <c r="K3" s="274"/>
      <c r="L3" s="274"/>
      <c r="M3" s="274"/>
      <c r="N3" s="246"/>
      <c r="O3" s="246"/>
      <c r="P3" s="246"/>
      <c r="Q3" s="246"/>
      <c r="R3" s="333"/>
      <c r="S3" s="555"/>
      <c r="T3" s="556"/>
      <c r="U3" s="333"/>
      <c r="V3" s="333"/>
      <c r="W3" s="333"/>
      <c r="X3" s="333"/>
      <c r="Y3" s="246"/>
      <c r="Z3" s="560"/>
      <c r="AA3" s="561"/>
      <c r="AB3" s="562"/>
      <c r="AC3" s="246"/>
      <c r="AD3" s="246"/>
      <c r="AE3" s="246"/>
      <c r="AF3" s="246"/>
      <c r="AG3" s="246"/>
      <c r="AH3" s="246"/>
      <c r="AI3" s="246"/>
      <c r="AJ3" s="246"/>
      <c r="AK3" s="246"/>
      <c r="AL3" s="246"/>
      <c r="AM3" s="246"/>
      <c r="AN3" s="246"/>
      <c r="AO3" s="246"/>
      <c r="AP3" s="246"/>
      <c r="AQ3" s="246"/>
      <c r="AS3" s="232"/>
      <c r="AT3" s="232"/>
      <c r="AU3" s="232"/>
      <c r="AV3" s="232"/>
      <c r="AW3" s="232"/>
      <c r="AX3" s="232"/>
      <c r="AY3" s="232"/>
      <c r="AZ3" s="232"/>
      <c r="BA3" s="232"/>
    </row>
    <row r="4" spans="1:54" ht="40.75" customHeight="1" x14ac:dyDescent="0.2">
      <c r="A4" s="246"/>
      <c r="B4" s="563" t="s">
        <v>365</v>
      </c>
      <c r="C4" s="563"/>
      <c r="D4" s="563"/>
      <c r="E4" s="336"/>
      <c r="F4" s="565" t="s">
        <v>408</v>
      </c>
      <c r="G4" s="566"/>
      <c r="H4" s="249"/>
      <c r="I4" s="246"/>
      <c r="J4" s="246"/>
      <c r="K4" s="246"/>
      <c r="L4" s="246"/>
      <c r="M4" s="435" t="s">
        <v>88</v>
      </c>
      <c r="N4" s="277"/>
      <c r="O4" s="277"/>
      <c r="P4" s="277"/>
      <c r="Q4" s="332"/>
      <c r="R4" s="457" t="s">
        <v>393</v>
      </c>
      <c r="S4" s="457" t="s">
        <v>245</v>
      </c>
      <c r="T4" s="569" t="s">
        <v>244</v>
      </c>
      <c r="U4" s="569"/>
      <c r="V4" s="569" t="s">
        <v>395</v>
      </c>
      <c r="W4" s="570"/>
      <c r="X4" s="238"/>
      <c r="Y4" s="246"/>
      <c r="Z4" s="369" t="s">
        <v>291</v>
      </c>
      <c r="AA4" s="370"/>
      <c r="AB4" s="371"/>
      <c r="AC4" s="242"/>
      <c r="AD4" s="372" t="s">
        <v>292</v>
      </c>
      <c r="AE4" s="373"/>
      <c r="AF4" s="246"/>
      <c r="AG4" s="246"/>
      <c r="AH4" s="246"/>
      <c r="AI4" s="246"/>
      <c r="AJ4" s="246"/>
      <c r="AK4" s="246"/>
      <c r="AL4" s="246"/>
      <c r="AM4" s="246"/>
      <c r="AN4" s="246"/>
      <c r="AO4" s="246"/>
      <c r="AP4" s="246"/>
      <c r="AQ4" s="246"/>
      <c r="AS4" s="232">
        <v>0</v>
      </c>
      <c r="AT4" s="278">
        <f>Q37</f>
        <v>212.7659574468085</v>
      </c>
      <c r="AU4" s="278">
        <f>(1-$D$11)*AT4</f>
        <v>106.38297872340425</v>
      </c>
      <c r="AV4" s="278"/>
      <c r="AW4" s="232"/>
      <c r="AX4" s="232">
        <f>IF(ISNUMBER(AS5),SUM(AU4:AV4),SUM(AU4:AW4))</f>
        <v>106.38297872340425</v>
      </c>
      <c r="AY4" s="279">
        <f t="shared" ref="AY4:AY30" si="0">LN(AX4+$J$37)-LN($J$37)</f>
        <v>0.31632022465180309</v>
      </c>
      <c r="AZ4" s="232">
        <f>IF(ISNUMBER(AS4),AY4/(1+$D$7)^AS4,0)</f>
        <v>0.31632022465180309</v>
      </c>
      <c r="BA4" s="232"/>
    </row>
    <row r="5" spans="1:54" ht="10.75" customHeight="1" thickBot="1" x14ac:dyDescent="0.25">
      <c r="A5" s="246"/>
      <c r="B5" s="564"/>
      <c r="C5" s="564"/>
      <c r="D5" s="564"/>
      <c r="E5" s="335"/>
      <c r="F5" s="567"/>
      <c r="G5" s="568"/>
      <c r="H5" s="256"/>
      <c r="I5" s="256"/>
      <c r="J5" s="246"/>
      <c r="K5" s="246"/>
      <c r="L5" s="246"/>
      <c r="M5" s="246"/>
      <c r="N5" s="246"/>
      <c r="O5" s="246"/>
      <c r="P5" s="246"/>
      <c r="Q5" s="459" t="s">
        <v>411</v>
      </c>
      <c r="R5" s="439">
        <f>D37/(1+D7)^8</f>
        <v>0.18206978838571686</v>
      </c>
      <c r="S5" s="458">
        <f>R5*(1-1/(1+D7)^G16)/(1-1/(1+D7))</f>
        <v>2.6943855798927796</v>
      </c>
      <c r="T5" s="582">
        <f>S5*G11*G7*G9*G18*G8/G37</f>
        <v>0.18802766212001665</v>
      </c>
      <c r="U5" s="582"/>
      <c r="V5" s="572">
        <f>$G$14*$G$10</f>
        <v>1.1874752500000002E-3</v>
      </c>
      <c r="W5" s="573"/>
      <c r="X5" s="238"/>
      <c r="Y5" s="246"/>
      <c r="Z5" s="357" t="s">
        <v>121</v>
      </c>
      <c r="AA5" s="358"/>
      <c r="AB5" s="359"/>
      <c r="AC5" s="247"/>
      <c r="AD5" s="238"/>
      <c r="AE5" s="244"/>
      <c r="AF5" s="246"/>
      <c r="AG5" s="246"/>
      <c r="AH5" s="246"/>
      <c r="AI5" s="246"/>
      <c r="AJ5" s="246"/>
      <c r="AK5" s="246"/>
      <c r="AL5" s="246"/>
      <c r="AM5" s="246"/>
      <c r="AN5" s="246"/>
      <c r="AO5" s="246"/>
      <c r="AP5" s="246"/>
      <c r="AQ5" s="246"/>
      <c r="AS5" s="232">
        <f t="shared" ref="AS5:AS68" si="1">IF(AS4&lt;$D$14,AS4+1,"")</f>
        <v>1</v>
      </c>
      <c r="AT5" s="278">
        <f>AT4-AU4</f>
        <v>106.38297872340425</v>
      </c>
      <c r="AU5" s="278"/>
      <c r="AV5" s="278">
        <f t="shared" ref="AV5:AV71" si="2">$D$10*AT5</f>
        <v>24.468085106382979</v>
      </c>
      <c r="AW5" s="278">
        <f>AT5</f>
        <v>106.38297872340425</v>
      </c>
      <c r="AX5" s="232">
        <f t="shared" ref="AX5:AX14" si="3">IF(ISNUMBER(AS6),SUM(AU5:AV5),SUM(AU5:AW5))</f>
        <v>24.468085106382979</v>
      </c>
      <c r="AY5" s="279">
        <f t="shared" si="0"/>
        <v>8.211071970452366E-2</v>
      </c>
      <c r="AZ5" s="232">
        <f t="shared" ref="AZ5:AZ71" si="4">IF(ISNUMBER(AS5),AY5/(1+$D$7)^AS5,0)</f>
        <v>7.8200685432879669E-2</v>
      </c>
      <c r="BA5" s="232">
        <f>SUM(AZ5:AZ114)</f>
        <v>1.1343548306233504</v>
      </c>
      <c r="BB5" s="233">
        <f>SUM(AZ5:AZ23)</f>
        <v>0.99233439364734832</v>
      </c>
    </row>
    <row r="6" spans="1:54" ht="15" customHeight="1" x14ac:dyDescent="0.2">
      <c r="A6" s="246"/>
      <c r="B6" s="242"/>
      <c r="C6" s="587" t="s">
        <v>540</v>
      </c>
      <c r="D6" s="587"/>
      <c r="E6" s="271"/>
      <c r="F6" s="350" t="s">
        <v>541</v>
      </c>
      <c r="G6" s="351"/>
      <c r="H6" s="272"/>
      <c r="I6" s="587" t="s">
        <v>567</v>
      </c>
      <c r="J6" s="587"/>
      <c r="K6" s="272"/>
      <c r="L6" s="588" t="s">
        <v>390</v>
      </c>
      <c r="M6" s="588"/>
      <c r="N6" s="243"/>
      <c r="O6" s="238"/>
      <c r="P6" s="246"/>
      <c r="Q6" s="459" t="s">
        <v>412</v>
      </c>
      <c r="R6" s="458">
        <f>(M15*M11)/(1+D7)^10</f>
        <v>1.7680701701973868E-2</v>
      </c>
      <c r="S6" s="458">
        <f>R6*(1-1/(1+D7)^G16)/(1-1/(1+D7))</f>
        <v>0.26165037116021228</v>
      </c>
      <c r="T6" s="582">
        <f>S6*M8*M9*M14*(W37/V37)*G11</f>
        <v>6.736206248877742E-3</v>
      </c>
      <c r="U6" s="582"/>
      <c r="V6" s="572">
        <v>0</v>
      </c>
      <c r="W6" s="589"/>
      <c r="X6" s="238"/>
      <c r="Y6" s="246"/>
      <c r="Z6" s="360" t="s">
        <v>570</v>
      </c>
      <c r="AA6" s="361"/>
      <c r="AB6" s="362">
        <f>$G$7*$G$8*$G$9*G$18*$J7</f>
        <v>2.0862954545454542E-2</v>
      </c>
      <c r="AC6" s="247"/>
      <c r="AD6" s="590" t="s">
        <v>123</v>
      </c>
      <c r="AE6" s="574">
        <f>G10</f>
        <v>0.65</v>
      </c>
      <c r="AF6" s="246"/>
      <c r="AG6" s="246"/>
      <c r="AH6" s="246"/>
      <c r="AI6" s="246"/>
      <c r="AJ6" s="246"/>
      <c r="AK6" s="246"/>
      <c r="AL6" s="246"/>
      <c r="AM6" s="246"/>
      <c r="AN6" s="246"/>
      <c r="AO6" s="246"/>
      <c r="AP6" s="246"/>
      <c r="AQ6" s="246"/>
      <c r="AS6" s="232">
        <f t="shared" si="1"/>
        <v>2</v>
      </c>
      <c r="AT6" s="278">
        <f t="shared" ref="AT6:AT72" si="5">IF(ISNUMBER(AS6),AW5,0)</f>
        <v>106.38297872340425</v>
      </c>
      <c r="AU6" s="278"/>
      <c r="AV6" s="278">
        <f t="shared" si="2"/>
        <v>24.468085106382979</v>
      </c>
      <c r="AW6" s="278">
        <f t="shared" ref="AW6:AW72" si="6">AT6</f>
        <v>106.38297872340425</v>
      </c>
      <c r="AX6" s="232">
        <f t="shared" si="3"/>
        <v>24.468085106382979</v>
      </c>
      <c r="AY6" s="279">
        <f t="shared" si="0"/>
        <v>8.211071970452366E-2</v>
      </c>
      <c r="AZ6" s="232">
        <f t="shared" si="4"/>
        <v>7.4476843269409218E-2</v>
      </c>
      <c r="BA6" s="232"/>
    </row>
    <row r="7" spans="1:54" ht="20.5" customHeight="1" x14ac:dyDescent="0.2">
      <c r="A7" s="246"/>
      <c r="B7" s="576" t="s">
        <v>573</v>
      </c>
      <c r="C7" s="301" t="s">
        <v>528</v>
      </c>
      <c r="D7" s="139">
        <v>0.05</v>
      </c>
      <c r="E7" s="234"/>
      <c r="F7" s="321" t="s">
        <v>532</v>
      </c>
      <c r="G7" s="338">
        <v>0.56060606060606055</v>
      </c>
      <c r="H7" s="236"/>
      <c r="I7" s="321" t="s">
        <v>536</v>
      </c>
      <c r="J7" s="381">
        <v>0.24809999999999999</v>
      </c>
      <c r="K7" s="314"/>
      <c r="L7" s="321" t="s">
        <v>397</v>
      </c>
      <c r="M7" s="436">
        <v>0.1</v>
      </c>
      <c r="N7" s="244"/>
      <c r="O7" s="238"/>
      <c r="P7" s="246"/>
      <c r="Q7" s="247"/>
      <c r="R7" s="238"/>
      <c r="S7" s="238"/>
      <c r="T7" s="238"/>
      <c r="U7" s="318"/>
      <c r="V7" s="238"/>
      <c r="W7" s="244"/>
      <c r="X7" s="238"/>
      <c r="Y7" s="246"/>
      <c r="Z7" s="360" t="s">
        <v>560</v>
      </c>
      <c r="AA7" s="361"/>
      <c r="AB7" s="362">
        <f>$G$7*$G$8*$G$9*G$18*$J8</f>
        <v>1.0315780293379696E-2</v>
      </c>
      <c r="AC7" s="247"/>
      <c r="AD7" s="591"/>
      <c r="AE7" s="575"/>
      <c r="AF7" s="246"/>
      <c r="AG7" s="246"/>
      <c r="AH7" s="246"/>
      <c r="AI7" s="246"/>
      <c r="AJ7" s="246"/>
      <c r="AK7" s="246"/>
      <c r="AL7" s="246"/>
      <c r="AM7" s="246"/>
      <c r="AN7" s="246"/>
      <c r="AO7" s="246"/>
      <c r="AP7" s="246"/>
      <c r="AQ7" s="246"/>
      <c r="AS7" s="232">
        <f t="shared" si="1"/>
        <v>3</v>
      </c>
      <c r="AT7" s="278">
        <f>IF(ISNUMBER(AS7),AW6,0)</f>
        <v>106.38297872340425</v>
      </c>
      <c r="AU7" s="278"/>
      <c r="AV7" s="278">
        <f t="shared" si="2"/>
        <v>24.468085106382979</v>
      </c>
      <c r="AW7" s="278">
        <f t="shared" si="6"/>
        <v>106.38297872340425</v>
      </c>
      <c r="AX7" s="232">
        <f t="shared" si="3"/>
        <v>24.468085106382979</v>
      </c>
      <c r="AY7" s="279">
        <f t="shared" si="0"/>
        <v>8.211071970452366E-2</v>
      </c>
      <c r="AZ7" s="232">
        <f t="shared" si="4"/>
        <v>7.093032692324687E-2</v>
      </c>
      <c r="BA7" s="232"/>
    </row>
    <row r="8" spans="1:54" ht="25" customHeight="1" thickBot="1" x14ac:dyDescent="0.25">
      <c r="A8" s="246"/>
      <c r="B8" s="576"/>
      <c r="C8" s="294"/>
      <c r="D8" s="294"/>
      <c r="E8" s="273"/>
      <c r="F8" s="323" t="s">
        <v>534</v>
      </c>
      <c r="G8" s="245">
        <v>0.5</v>
      </c>
      <c r="H8" s="237"/>
      <c r="I8" s="312" t="s">
        <v>537</v>
      </c>
      <c r="J8" s="379">
        <v>0.12267414402938018</v>
      </c>
      <c r="K8" s="315"/>
      <c r="L8" s="312" t="s">
        <v>391</v>
      </c>
      <c r="M8" s="437">
        <v>0.8</v>
      </c>
      <c r="N8" s="244"/>
      <c r="O8" s="238"/>
      <c r="P8" s="246"/>
      <c r="Q8" s="577" t="s">
        <v>413</v>
      </c>
      <c r="R8" s="238"/>
      <c r="S8" s="460" t="s">
        <v>246</v>
      </c>
      <c r="T8" s="578" t="s">
        <v>562</v>
      </c>
      <c r="U8" s="578"/>
      <c r="V8" s="578" t="s">
        <v>446</v>
      </c>
      <c r="W8" s="662"/>
      <c r="X8" s="238"/>
      <c r="Y8" s="246"/>
      <c r="Z8" s="360" t="s">
        <v>566</v>
      </c>
      <c r="AA8" s="361"/>
      <c r="AB8" s="362">
        <f>$G$7*$G$8*$G$9*G$18/M18</f>
        <v>4.2045454545454539E-2</v>
      </c>
      <c r="AC8" s="374"/>
      <c r="AD8" s="375" t="s">
        <v>124</v>
      </c>
      <c r="AE8" s="376">
        <f>(AE6*U37)/S5</f>
        <v>8.8113780659948322</v>
      </c>
      <c r="AF8" s="246"/>
      <c r="AG8" s="246"/>
      <c r="AH8" s="246"/>
      <c r="AI8" s="246"/>
      <c r="AJ8" s="246"/>
      <c r="AK8" s="246"/>
      <c r="AL8" s="246"/>
      <c r="AM8" s="246"/>
      <c r="AN8" s="246"/>
      <c r="AO8" s="246"/>
      <c r="AP8" s="246"/>
      <c r="AQ8" s="246"/>
      <c r="AS8" s="232">
        <f t="shared" si="1"/>
        <v>4</v>
      </c>
      <c r="AT8" s="278">
        <f t="shared" si="5"/>
        <v>106.38297872340425</v>
      </c>
      <c r="AU8" s="278"/>
      <c r="AV8" s="278">
        <f t="shared" si="2"/>
        <v>24.468085106382979</v>
      </c>
      <c r="AW8" s="278">
        <f t="shared" si="6"/>
        <v>106.38297872340425</v>
      </c>
      <c r="AX8" s="232">
        <f t="shared" si="3"/>
        <v>24.468085106382979</v>
      </c>
      <c r="AY8" s="279">
        <f t="shared" si="0"/>
        <v>8.211071970452366E-2</v>
      </c>
      <c r="AZ8" s="232">
        <f t="shared" si="4"/>
        <v>6.755269230785417E-2</v>
      </c>
      <c r="BA8" s="232"/>
    </row>
    <row r="9" spans="1:54" ht="33" x14ac:dyDescent="0.2">
      <c r="A9" s="246"/>
      <c r="B9" s="576"/>
      <c r="C9" s="581" t="s">
        <v>542</v>
      </c>
      <c r="D9" s="581"/>
      <c r="E9" s="234"/>
      <c r="F9" s="312" t="s">
        <v>440</v>
      </c>
      <c r="G9" s="313">
        <v>1</v>
      </c>
      <c r="H9" s="237"/>
      <c r="I9" s="312" t="s">
        <v>386</v>
      </c>
      <c r="J9" s="379">
        <v>1.17</v>
      </c>
      <c r="K9" s="315"/>
      <c r="L9" s="312" t="s">
        <v>392</v>
      </c>
      <c r="M9" s="437">
        <v>0.7</v>
      </c>
      <c r="N9" s="244"/>
      <c r="O9" s="238"/>
      <c r="P9" s="246"/>
      <c r="Q9" s="577"/>
      <c r="R9" s="253" t="s">
        <v>572</v>
      </c>
      <c r="S9" s="468">
        <f>J11*($T$5*AB13*J14*J7+$V$5*(J7*$G$13))</f>
        <v>3.6373943907090117E-2</v>
      </c>
      <c r="T9" s="582">
        <f>S9/(J16/J9)</f>
        <v>8.3446106610383194E-2</v>
      </c>
      <c r="U9" s="582"/>
      <c r="V9" s="663">
        <f>($G$10*$U$37)/T9</f>
        <v>284.50997852841562</v>
      </c>
      <c r="W9" s="664"/>
      <c r="X9" s="238"/>
      <c r="Y9" s="387"/>
      <c r="Z9" s="585" t="s">
        <v>288</v>
      </c>
      <c r="AA9" s="586"/>
      <c r="AB9" s="411">
        <v>0.05</v>
      </c>
      <c r="AC9" s="246"/>
      <c r="AD9" s="246"/>
      <c r="AE9" s="388"/>
      <c r="AF9" s="246"/>
      <c r="AG9" s="246"/>
      <c r="AH9" s="246"/>
      <c r="AI9" s="246"/>
      <c r="AJ9" s="246"/>
      <c r="AK9" s="246"/>
      <c r="AL9" s="246"/>
      <c r="AM9" s="246"/>
      <c r="AN9" s="246"/>
      <c r="AO9" s="246"/>
      <c r="AP9" s="246"/>
      <c r="AQ9" s="246"/>
      <c r="AS9" s="232">
        <f t="shared" si="1"/>
        <v>5</v>
      </c>
      <c r="AT9" s="278">
        <f t="shared" si="5"/>
        <v>106.38297872340425</v>
      </c>
      <c r="AU9" s="278"/>
      <c r="AV9" s="278">
        <f t="shared" si="2"/>
        <v>24.468085106382979</v>
      </c>
      <c r="AW9" s="278">
        <f t="shared" si="6"/>
        <v>106.38297872340425</v>
      </c>
      <c r="AX9" s="232">
        <f>IF(ISNUMBER(AS10),SUM(AU9:AV9),SUM(AU9:AW9))</f>
        <v>24.468085106382979</v>
      </c>
      <c r="AY9" s="279">
        <f t="shared" si="0"/>
        <v>8.211071970452366E-2</v>
      </c>
      <c r="AZ9" s="232">
        <f t="shared" si="4"/>
        <v>6.4335897436051573E-2</v>
      </c>
      <c r="BA9" s="232"/>
    </row>
    <row r="10" spans="1:54" ht="39.75" customHeight="1" x14ac:dyDescent="0.2">
      <c r="A10" s="246"/>
      <c r="B10" s="576"/>
      <c r="C10" s="291" t="s">
        <v>531</v>
      </c>
      <c r="D10" s="292">
        <v>0.23</v>
      </c>
      <c r="E10" s="284"/>
      <c r="F10" s="312" t="s">
        <v>231</v>
      </c>
      <c r="G10" s="503">
        <v>0.65</v>
      </c>
      <c r="H10" s="285"/>
      <c r="I10" s="312" t="s">
        <v>387</v>
      </c>
      <c r="J10" s="379">
        <v>1</v>
      </c>
      <c r="K10" s="315"/>
      <c r="L10" s="312" t="s">
        <v>406</v>
      </c>
      <c r="M10" s="437">
        <v>1</v>
      </c>
      <c r="N10" s="244"/>
      <c r="O10" s="238"/>
      <c r="P10" s="246"/>
      <c r="Q10" s="577"/>
      <c r="R10" s="253" t="s">
        <v>14</v>
      </c>
      <c r="S10" s="468">
        <f>J18*($T$5*AB14*J15*J8+$V$5*(J8*$G$13))</f>
        <v>1.7590944398013564E-2</v>
      </c>
      <c r="T10" s="582">
        <f>S10/(J17/J10)</f>
        <v>3.3240635672739161E-2</v>
      </c>
      <c r="U10" s="582"/>
      <c r="V10" s="663">
        <f>($G$10*$U$37)/T10</f>
        <v>714.22370600061481</v>
      </c>
      <c r="W10" s="664"/>
      <c r="X10" s="238"/>
      <c r="Y10" s="246"/>
      <c r="Z10" s="592" t="s">
        <v>289</v>
      </c>
      <c r="AA10" s="593"/>
      <c r="AB10" s="377" t="s">
        <v>287</v>
      </c>
      <c r="AC10" s="246"/>
      <c r="AD10" s="387"/>
      <c r="AE10" s="388"/>
      <c r="AF10" s="246"/>
      <c r="AG10" s="246"/>
      <c r="AH10" s="246"/>
      <c r="AI10" s="246"/>
      <c r="AJ10" s="246"/>
      <c r="AK10" s="246"/>
      <c r="AL10" s="246"/>
      <c r="AM10" s="246"/>
      <c r="AN10" s="246"/>
      <c r="AO10" s="246"/>
      <c r="AP10" s="246"/>
      <c r="AQ10" s="246"/>
      <c r="AS10" s="232">
        <f t="shared" si="1"/>
        <v>6</v>
      </c>
      <c r="AT10" s="278">
        <f>IF(ISNUMBER(AS10),AW9,0)</f>
        <v>106.38297872340425</v>
      </c>
      <c r="AU10" s="278"/>
      <c r="AV10" s="278">
        <f t="shared" si="2"/>
        <v>24.468085106382979</v>
      </c>
      <c r="AW10" s="278">
        <f t="shared" si="6"/>
        <v>106.38297872340425</v>
      </c>
      <c r="AX10" s="232">
        <f>IF(ISNUMBER(AS11),SUM(AU10:AV10),SUM(AU10:AW10))</f>
        <v>24.468085106382979</v>
      </c>
      <c r="AY10" s="279">
        <f t="shared" si="0"/>
        <v>8.211071970452366E-2</v>
      </c>
      <c r="AZ10" s="232">
        <f t="shared" si="4"/>
        <v>6.1272283272430082E-2</v>
      </c>
      <c r="BA10" s="232"/>
    </row>
    <row r="11" spans="1:54" ht="33" customHeight="1" x14ac:dyDescent="0.2">
      <c r="A11" s="246"/>
      <c r="B11" s="576"/>
      <c r="C11" s="298" t="s">
        <v>533</v>
      </c>
      <c r="D11" s="299">
        <v>0.5</v>
      </c>
      <c r="E11" s="235"/>
      <c r="F11" s="312" t="s">
        <v>241</v>
      </c>
      <c r="G11" s="503">
        <v>2</v>
      </c>
      <c r="H11" s="238"/>
      <c r="I11" s="312" t="s">
        <v>230</v>
      </c>
      <c r="J11" s="379">
        <v>0.77</v>
      </c>
      <c r="K11" s="315"/>
      <c r="L11" s="312" t="s">
        <v>405</v>
      </c>
      <c r="M11" s="437">
        <v>0.8</v>
      </c>
      <c r="N11" s="244"/>
      <c r="O11" s="246"/>
      <c r="P11" s="246"/>
      <c r="Q11" s="577"/>
      <c r="R11" s="253" t="s">
        <v>566</v>
      </c>
      <c r="S11" s="468" t="s">
        <v>120</v>
      </c>
      <c r="T11" s="582">
        <f>(1/S37)*(1/M18)*T5*AB15+(1/R37)*U37*G10</f>
        <v>3.4398403058302197E-2</v>
      </c>
      <c r="U11" s="582">
        <f>(1/S37)*(1/M18)*T5+1/R37*(G10*S5)</f>
        <v>2.6650742279057147E-2</v>
      </c>
      <c r="V11" s="663">
        <f>($G$10*$U$37)/T11</f>
        <v>690.18465653073258</v>
      </c>
      <c r="W11" s="664"/>
      <c r="X11" s="238"/>
      <c r="Y11" s="246"/>
      <c r="Z11" s="247"/>
      <c r="AA11" s="238"/>
      <c r="AB11" s="244"/>
      <c r="AC11" s="246"/>
      <c r="AD11" s="246"/>
      <c r="AE11" s="246"/>
      <c r="AF11" s="246"/>
      <c r="AG11" s="246"/>
      <c r="AH11" s="246"/>
      <c r="AI11" s="246"/>
      <c r="AJ11" s="246"/>
      <c r="AK11" s="246"/>
      <c r="AL11" s="246"/>
      <c r="AM11" s="246"/>
      <c r="AN11" s="246"/>
      <c r="AO11" s="246"/>
      <c r="AP11" s="246"/>
      <c r="AQ11" s="246"/>
      <c r="AS11" s="232">
        <f t="shared" si="1"/>
        <v>7</v>
      </c>
      <c r="AT11" s="278">
        <f>IF(ISNUMBER(AS11),AW10,0)</f>
        <v>106.38297872340425</v>
      </c>
      <c r="AU11" s="278"/>
      <c r="AV11" s="278">
        <f t="shared" si="2"/>
        <v>24.468085106382979</v>
      </c>
      <c r="AW11" s="278">
        <f t="shared" si="6"/>
        <v>106.38297872340425</v>
      </c>
      <c r="AX11" s="232">
        <f>IF(ISNUMBER(AS12),SUM(AU11:AV11),SUM(AU11:AW11))</f>
        <v>24.468085106382979</v>
      </c>
      <c r="AY11" s="279">
        <f t="shared" si="0"/>
        <v>8.211071970452366E-2</v>
      </c>
      <c r="AZ11" s="232">
        <f t="shared" si="4"/>
        <v>5.8354555497552446E-2</v>
      </c>
      <c r="BA11" s="232"/>
    </row>
    <row r="12" spans="1:54" ht="22.75" customHeight="1" thickBot="1" x14ac:dyDescent="0.25">
      <c r="A12" s="246"/>
      <c r="B12" s="247"/>
      <c r="C12" s="241"/>
      <c r="D12" s="240"/>
      <c r="E12" s="234"/>
      <c r="F12" s="390"/>
      <c r="G12" s="391"/>
      <c r="H12" s="241"/>
      <c r="I12" s="241"/>
      <c r="J12" s="380"/>
      <c r="K12" s="238"/>
      <c r="L12" s="312" t="s">
        <v>399</v>
      </c>
      <c r="M12" s="437">
        <v>0.66</v>
      </c>
      <c r="N12" s="244"/>
      <c r="O12" s="238"/>
      <c r="P12" s="246"/>
      <c r="Q12" s="293"/>
      <c r="R12" s="253" t="s">
        <v>396</v>
      </c>
      <c r="S12" s="468">
        <f>T6*M12</f>
        <v>4.4458961242593098E-3</v>
      </c>
      <c r="T12" s="582">
        <f>M13*S12/(M7/M10)</f>
        <v>2.2229480621296548E-2</v>
      </c>
      <c r="U12" s="582"/>
      <c r="V12" s="594" t="s">
        <v>120</v>
      </c>
      <c r="W12" s="595"/>
      <c r="X12" s="238"/>
      <c r="Y12" s="246"/>
      <c r="Z12" s="363" t="s">
        <v>286</v>
      </c>
      <c r="AA12" s="358"/>
      <c r="AB12" s="364"/>
      <c r="AC12" s="246"/>
      <c r="AD12" s="246"/>
      <c r="AE12" s="246"/>
      <c r="AF12" s="246"/>
      <c r="AG12" s="246"/>
      <c r="AH12" s="246"/>
      <c r="AI12" s="246"/>
      <c r="AJ12" s="246"/>
      <c r="AK12" s="246"/>
      <c r="AL12" s="246"/>
      <c r="AM12" s="246"/>
      <c r="AN12" s="246"/>
      <c r="AO12" s="246"/>
      <c r="AP12" s="246"/>
      <c r="AQ12" s="246"/>
      <c r="AS12" s="232">
        <f t="shared" si="1"/>
        <v>8</v>
      </c>
      <c r="AT12" s="278">
        <f>IF(ISNUMBER(AS12),AW11,0)</f>
        <v>106.38297872340425</v>
      </c>
      <c r="AU12" s="278"/>
      <c r="AV12" s="278">
        <f t="shared" si="2"/>
        <v>24.468085106382979</v>
      </c>
      <c r="AW12" s="278">
        <f t="shared" si="6"/>
        <v>106.38297872340425</v>
      </c>
      <c r="AX12" s="232">
        <f>IF(ISNUMBER(AS13),SUM(AU12:AV12),SUM(AU12:AW12))</f>
        <v>24.468085106382979</v>
      </c>
      <c r="AY12" s="279">
        <f t="shared" si="0"/>
        <v>8.211071970452366E-2</v>
      </c>
      <c r="AZ12" s="232">
        <f t="shared" si="4"/>
        <v>5.5575767140526144E-2</v>
      </c>
      <c r="BA12" s="232"/>
    </row>
    <row r="13" spans="1:54" ht="30.75" customHeight="1" x14ac:dyDescent="0.2">
      <c r="A13" s="246"/>
      <c r="B13" s="247"/>
      <c r="C13" s="241"/>
      <c r="D13" s="240"/>
      <c r="E13" s="234"/>
      <c r="F13" s="461" t="s">
        <v>217</v>
      </c>
      <c r="G13" s="507">
        <v>2</v>
      </c>
      <c r="H13" s="238"/>
      <c r="I13" s="241"/>
      <c r="J13" s="380"/>
      <c r="K13" s="238"/>
      <c r="L13" s="312" t="s">
        <v>398</v>
      </c>
      <c r="M13" s="437">
        <v>0.5</v>
      </c>
      <c r="N13" s="244"/>
      <c r="O13" s="238"/>
      <c r="P13" s="246"/>
      <c r="Q13" s="596" t="s">
        <v>122</v>
      </c>
      <c r="R13" s="457" t="s">
        <v>442</v>
      </c>
      <c r="S13" s="457" t="s">
        <v>563</v>
      </c>
      <c r="T13" s="569" t="s">
        <v>564</v>
      </c>
      <c r="U13" s="569"/>
      <c r="V13" s="569" t="s">
        <v>562</v>
      </c>
      <c r="W13" s="570"/>
      <c r="X13" s="238"/>
      <c r="Y13" s="246"/>
      <c r="Z13" s="360" t="s">
        <v>570</v>
      </c>
      <c r="AA13" s="361"/>
      <c r="AB13" s="365">
        <f>IF($AB$10="Yes",MAX(AB6,$AB$9),AB6)/AB6</f>
        <v>1</v>
      </c>
      <c r="AC13" s="246"/>
      <c r="AD13" s="246"/>
      <c r="AE13" s="246"/>
      <c r="AF13" s="246"/>
      <c r="AG13" s="246"/>
      <c r="AH13" s="246"/>
      <c r="AI13" s="246"/>
      <c r="AJ13" s="246"/>
      <c r="AK13" s="246"/>
      <c r="AL13" s="246"/>
      <c r="AM13" s="246"/>
      <c r="AN13" s="246"/>
      <c r="AO13" s="246"/>
      <c r="AP13" s="246"/>
      <c r="AQ13" s="246"/>
      <c r="AS13" s="232">
        <f t="shared" si="1"/>
        <v>9</v>
      </c>
      <c r="AT13" s="278">
        <f>IF(ISNUMBER(AS13),AW12,0)</f>
        <v>106.38297872340425</v>
      </c>
      <c r="AU13" s="278"/>
      <c r="AV13" s="278">
        <f t="shared" si="2"/>
        <v>24.468085106382979</v>
      </c>
      <c r="AW13" s="278">
        <f t="shared" si="6"/>
        <v>106.38297872340425</v>
      </c>
      <c r="AX13" s="232">
        <f t="shared" si="3"/>
        <v>24.468085106382979</v>
      </c>
      <c r="AY13" s="279">
        <f t="shared" si="0"/>
        <v>8.211071970452366E-2</v>
      </c>
      <c r="AZ13" s="232">
        <f t="shared" si="4"/>
        <v>5.2929302038596325E-2</v>
      </c>
      <c r="BA13" s="232"/>
    </row>
    <row r="14" spans="1:54" ht="21" customHeight="1" thickBot="1" x14ac:dyDescent="0.25">
      <c r="A14" s="246"/>
      <c r="B14" s="597" t="s">
        <v>366</v>
      </c>
      <c r="C14" s="598" t="s">
        <v>529</v>
      </c>
      <c r="D14" s="600">
        <v>20</v>
      </c>
      <c r="E14" s="235"/>
      <c r="F14" s="598" t="s">
        <v>530</v>
      </c>
      <c r="G14" s="600">
        <v>1.8268850000000001E-3</v>
      </c>
      <c r="H14" s="238"/>
      <c r="I14" s="300" t="s">
        <v>539</v>
      </c>
      <c r="J14" s="382">
        <v>1</v>
      </c>
      <c r="K14" s="316"/>
      <c r="L14" s="312" t="s">
        <v>400</v>
      </c>
      <c r="M14" s="437">
        <v>0.8</v>
      </c>
      <c r="N14" s="244"/>
      <c r="O14" s="238"/>
      <c r="P14" s="246"/>
      <c r="Q14" s="577"/>
      <c r="R14" s="462">
        <f>BA5</f>
        <v>1.1343548306233504</v>
      </c>
      <c r="S14" s="462">
        <f>AZ4</f>
        <v>0.31632022465180309</v>
      </c>
      <c r="T14" s="602">
        <f>R14+S14</f>
        <v>1.4506750552751535</v>
      </c>
      <c r="U14" s="602"/>
      <c r="V14" s="582">
        <f>T14/(Tim!Q37/Tim!D16)</f>
        <v>5.5090835899129238E-3</v>
      </c>
      <c r="W14" s="603"/>
      <c r="X14" s="238"/>
      <c r="Y14" s="387"/>
      <c r="Z14" s="360" t="s">
        <v>560</v>
      </c>
      <c r="AA14" s="361"/>
      <c r="AB14" s="365">
        <f>IF($AB$10="Yes",MAX(AB7,$AB$9),AB7)/AB7</f>
        <v>1</v>
      </c>
      <c r="AC14" s="246"/>
      <c r="AD14" s="246"/>
      <c r="AE14" s="246"/>
      <c r="AF14" s="246"/>
      <c r="AG14" s="246"/>
      <c r="AH14" s="246"/>
      <c r="AI14" s="246"/>
      <c r="AJ14" s="246"/>
      <c r="AK14" s="246"/>
      <c r="AL14" s="246"/>
      <c r="AM14" s="246"/>
      <c r="AN14" s="246"/>
      <c r="AO14" s="246"/>
      <c r="AP14" s="246"/>
      <c r="AQ14" s="246"/>
      <c r="AS14" s="232">
        <f t="shared" si="1"/>
        <v>10</v>
      </c>
      <c r="AT14" s="278">
        <f t="shared" si="5"/>
        <v>106.38297872340425</v>
      </c>
      <c r="AU14" s="278"/>
      <c r="AV14" s="278">
        <f t="shared" si="2"/>
        <v>24.468085106382979</v>
      </c>
      <c r="AW14" s="278">
        <f t="shared" si="6"/>
        <v>106.38297872340425</v>
      </c>
      <c r="AX14" s="232">
        <f t="shared" si="3"/>
        <v>24.468085106382979</v>
      </c>
      <c r="AY14" s="279">
        <f t="shared" si="0"/>
        <v>8.211071970452366E-2</v>
      </c>
      <c r="AZ14" s="232">
        <f t="shared" si="4"/>
        <v>5.0408859084377457E-2</v>
      </c>
      <c r="BA14" s="232"/>
    </row>
    <row r="15" spans="1:54" ht="21" customHeight="1" thickBot="1" x14ac:dyDescent="0.25">
      <c r="A15" s="246"/>
      <c r="B15" s="597"/>
      <c r="C15" s="599"/>
      <c r="D15" s="601"/>
      <c r="E15" s="235"/>
      <c r="F15" s="599"/>
      <c r="G15" s="601"/>
      <c r="H15" s="238"/>
      <c r="I15" s="300" t="s">
        <v>538</v>
      </c>
      <c r="J15" s="383">
        <v>0.75</v>
      </c>
      <c r="K15" s="316"/>
      <c r="L15" s="322" t="s">
        <v>403</v>
      </c>
      <c r="M15" s="438">
        <v>3.5999999999999997E-2</v>
      </c>
      <c r="N15" s="244"/>
      <c r="O15" s="238"/>
      <c r="P15" s="246"/>
      <c r="Q15" s="463" t="s">
        <v>129</v>
      </c>
      <c r="R15" s="415"/>
      <c r="S15" s="465" t="s">
        <v>561</v>
      </c>
      <c r="T15" s="604" t="s">
        <v>560</v>
      </c>
      <c r="U15" s="605"/>
      <c r="V15" s="465" t="s">
        <v>566</v>
      </c>
      <c r="W15" s="430" t="s">
        <v>576</v>
      </c>
      <c r="X15" s="238"/>
      <c r="Y15" s="387"/>
      <c r="Z15" s="366" t="s">
        <v>566</v>
      </c>
      <c r="AA15" s="367"/>
      <c r="AB15" s="368">
        <f>IF($AB$10="Yes",MAX(AB8,$AB$9),AB8)/AB8</f>
        <v>1</v>
      </c>
      <c r="AC15" s="246"/>
      <c r="AD15" s="246"/>
      <c r="AE15" s="246"/>
      <c r="AF15" s="246"/>
      <c r="AG15" s="246"/>
      <c r="AH15" s="246"/>
      <c r="AI15" s="246"/>
      <c r="AJ15" s="246"/>
      <c r="AK15" s="246"/>
      <c r="AL15" s="246"/>
      <c r="AM15" s="246"/>
      <c r="AN15" s="246"/>
      <c r="AO15" s="246"/>
      <c r="AP15" s="246"/>
      <c r="AQ15" s="246"/>
      <c r="AS15" s="232">
        <f t="shared" si="1"/>
        <v>11</v>
      </c>
      <c r="AT15" s="278">
        <f t="shared" si="5"/>
        <v>106.38297872340425</v>
      </c>
      <c r="AU15" s="278"/>
      <c r="AV15" s="278">
        <f t="shared" si="2"/>
        <v>24.468085106382979</v>
      </c>
      <c r="AW15" s="278">
        <f t="shared" si="6"/>
        <v>106.38297872340425</v>
      </c>
      <c r="AX15" s="232">
        <f>IF(ISNUMBER(AS16),SUM(AU15:AV15),SUM(AU15:AW15))</f>
        <v>24.468085106382979</v>
      </c>
      <c r="AY15" s="279">
        <f t="shared" si="0"/>
        <v>8.211071970452366E-2</v>
      </c>
      <c r="AZ15" s="232">
        <f t="shared" si="4"/>
        <v>4.800843722321662E-2</v>
      </c>
      <c r="BA15" s="232"/>
    </row>
    <row r="16" spans="1:54" ht="21" customHeight="1" x14ac:dyDescent="0.2">
      <c r="A16" s="246"/>
      <c r="B16" s="597"/>
      <c r="C16" s="606" t="s">
        <v>547</v>
      </c>
      <c r="D16" s="608">
        <v>0.80800000000000005</v>
      </c>
      <c r="E16" s="235"/>
      <c r="F16" s="606" t="s">
        <v>345</v>
      </c>
      <c r="G16" s="610">
        <v>25</v>
      </c>
      <c r="H16" s="238"/>
      <c r="I16" s="296" t="s">
        <v>556</v>
      </c>
      <c r="J16" s="384">
        <v>0.51</v>
      </c>
      <c r="K16" s="317"/>
      <c r="L16" s="238"/>
      <c r="M16" s="238"/>
      <c r="N16" s="244"/>
      <c r="O16" s="238"/>
      <c r="P16" s="246"/>
      <c r="Q16" s="459"/>
      <c r="R16" s="413" t="s">
        <v>126</v>
      </c>
      <c r="S16" s="490">
        <f>$T9/$T$9</f>
        <v>1</v>
      </c>
      <c r="T16" s="612">
        <f>$T9/$T$10</f>
        <v>2.5103643453731492</v>
      </c>
      <c r="U16" s="613"/>
      <c r="V16" s="490">
        <f>$T9/$T$11</f>
        <v>2.425871528656419</v>
      </c>
      <c r="W16" s="491">
        <f>$T9/$V$14</f>
        <v>15.147003171847341</v>
      </c>
      <c r="X16" s="238"/>
      <c r="Y16" s="387"/>
      <c r="Z16" s="246"/>
      <c r="AA16" s="246"/>
      <c r="AB16" s="246"/>
      <c r="AC16" s="246"/>
      <c r="AD16" s="246"/>
      <c r="AE16" s="246"/>
      <c r="AF16" s="246"/>
      <c r="AG16" s="246"/>
      <c r="AH16" s="246"/>
      <c r="AI16" s="246"/>
      <c r="AJ16" s="246"/>
      <c r="AK16" s="246"/>
      <c r="AL16" s="246"/>
      <c r="AM16" s="246"/>
      <c r="AN16" s="246"/>
      <c r="AO16" s="246"/>
      <c r="AP16" s="246"/>
      <c r="AQ16" s="246"/>
      <c r="AS16" s="232">
        <f t="shared" si="1"/>
        <v>12</v>
      </c>
      <c r="AT16" s="278">
        <f t="shared" si="5"/>
        <v>106.38297872340425</v>
      </c>
      <c r="AU16" s="278"/>
      <c r="AV16" s="278">
        <f t="shared" si="2"/>
        <v>24.468085106382979</v>
      </c>
      <c r="AW16" s="278">
        <f t="shared" si="6"/>
        <v>106.38297872340425</v>
      </c>
      <c r="AX16" s="232">
        <f t="shared" ref="AX16:AX81" si="7">IF(ISNUMBER(AS17),SUM(AU16:AV16),SUM(AU16:AW16))</f>
        <v>24.468085106382979</v>
      </c>
      <c r="AY16" s="279">
        <f t="shared" si="0"/>
        <v>8.211071970452366E-2</v>
      </c>
      <c r="AZ16" s="232">
        <f t="shared" si="4"/>
        <v>4.5722321164968216E-2</v>
      </c>
      <c r="BA16" s="232"/>
    </row>
    <row r="17" spans="1:54" ht="31.75" customHeight="1" x14ac:dyDescent="0.2">
      <c r="A17" s="246"/>
      <c r="B17" s="597"/>
      <c r="C17" s="607"/>
      <c r="D17" s="609"/>
      <c r="E17" s="235"/>
      <c r="F17" s="599"/>
      <c r="G17" s="611"/>
      <c r="H17" s="238"/>
      <c r="I17" s="297" t="s">
        <v>535</v>
      </c>
      <c r="J17" s="385">
        <v>0.5292</v>
      </c>
      <c r="K17" s="317"/>
      <c r="L17" s="614" t="s">
        <v>566</v>
      </c>
      <c r="M17" s="614"/>
      <c r="N17" s="244"/>
      <c r="O17" s="238"/>
      <c r="P17" s="246"/>
      <c r="Q17" s="459"/>
      <c r="R17" s="413" t="s">
        <v>127</v>
      </c>
      <c r="S17" s="490">
        <f>$T10/$T$9</f>
        <v>0.39834855121452761</v>
      </c>
      <c r="T17" s="612">
        <f>$T10/$T$10</f>
        <v>1</v>
      </c>
      <c r="U17" s="613"/>
      <c r="V17" s="490">
        <f>$T10/$T$11</f>
        <v>0.96634240887285594</v>
      </c>
      <c r="W17" s="491">
        <f>$T10/$V$14</f>
        <v>6.0337867687472428</v>
      </c>
      <c r="X17" s="238"/>
      <c r="Y17" s="387"/>
      <c r="Z17" s="246"/>
      <c r="AA17" s="246"/>
      <c r="AB17" s="246"/>
      <c r="AC17" s="246"/>
      <c r="AD17" s="246"/>
      <c r="AE17" s="246"/>
      <c r="AF17" s="246"/>
      <c r="AG17" s="246"/>
      <c r="AH17" s="246"/>
      <c r="AI17" s="246"/>
      <c r="AJ17" s="246"/>
      <c r="AK17" s="246"/>
      <c r="AL17" s="246"/>
      <c r="AM17" s="246"/>
      <c r="AN17" s="246"/>
      <c r="AO17" s="246"/>
      <c r="AP17" s="246"/>
      <c r="AQ17" s="246"/>
      <c r="AS17" s="232">
        <f>IF(AS16&lt;$D$14,AS16+1,"")</f>
        <v>13</v>
      </c>
      <c r="AT17" s="278">
        <f>IF(ISNUMBER(AS17),AW16,0)</f>
        <v>106.38297872340425</v>
      </c>
      <c r="AU17" s="278"/>
      <c r="AV17" s="278">
        <f t="shared" si="2"/>
        <v>24.468085106382979</v>
      </c>
      <c r="AW17" s="278">
        <f t="shared" si="6"/>
        <v>106.38297872340425</v>
      </c>
      <c r="AX17" s="232">
        <f>IF(ISNUMBER(AS18),SUM(AU17:AV17),SUM(AU17:AW17))</f>
        <v>24.468085106382979</v>
      </c>
      <c r="AY17" s="279">
        <f t="shared" si="0"/>
        <v>8.211071970452366E-2</v>
      </c>
      <c r="AZ17" s="232">
        <f t="shared" si="4"/>
        <v>4.3545067776160198E-2</v>
      </c>
      <c r="BA17" s="232"/>
    </row>
    <row r="18" spans="1:54" ht="30.75" customHeight="1" x14ac:dyDescent="0.2">
      <c r="A18" s="246"/>
      <c r="B18" s="597"/>
      <c r="C18" s="238"/>
      <c r="D18" s="238"/>
      <c r="E18" s="235"/>
      <c r="F18" s="310" t="s">
        <v>372</v>
      </c>
      <c r="G18" s="308">
        <v>0.3</v>
      </c>
      <c r="H18" s="238"/>
      <c r="I18" s="307" t="s">
        <v>229</v>
      </c>
      <c r="J18" s="306">
        <v>1</v>
      </c>
      <c r="K18" s="316"/>
      <c r="L18" s="312" t="s">
        <v>81</v>
      </c>
      <c r="M18" s="137">
        <v>2</v>
      </c>
      <c r="N18" s="244"/>
      <c r="O18" s="238"/>
      <c r="P18" s="238"/>
      <c r="Q18" s="459"/>
      <c r="R18" s="413" t="s">
        <v>128</v>
      </c>
      <c r="S18" s="490">
        <f>$T11/$T$9</f>
        <v>0.41222298385844652</v>
      </c>
      <c r="T18" s="612">
        <f>$T11/$T$10</f>
        <v>1.0348298810215752</v>
      </c>
      <c r="U18" s="613"/>
      <c r="V18" s="490">
        <f>$T11/$T$11</f>
        <v>1</v>
      </c>
      <c r="W18" s="491">
        <f>$T11/$V$14</f>
        <v>6.2439428440122642</v>
      </c>
      <c r="X18" s="238"/>
      <c r="Y18" s="246"/>
      <c r="Z18" s="246"/>
      <c r="AA18" s="246"/>
      <c r="AB18" s="246"/>
      <c r="AC18" s="246"/>
      <c r="AD18" s="246"/>
      <c r="AE18" s="246"/>
      <c r="AF18" s="246"/>
      <c r="AG18" s="246"/>
      <c r="AH18" s="246"/>
      <c r="AI18" s="246"/>
      <c r="AJ18" s="246"/>
      <c r="AK18" s="246"/>
      <c r="AL18" s="246"/>
      <c r="AM18" s="246"/>
      <c r="AN18" s="246"/>
      <c r="AO18" s="246"/>
      <c r="AP18" s="246"/>
      <c r="AQ18" s="246"/>
      <c r="AS18" s="232">
        <f>IF(AS17&lt;$D$14,AS17+1,"")</f>
        <v>14</v>
      </c>
      <c r="AT18" s="278">
        <f>IF(ISNUMBER(AS18),AW17,0)</f>
        <v>106.38297872340425</v>
      </c>
      <c r="AU18" s="278"/>
      <c r="AV18" s="278">
        <f t="shared" si="2"/>
        <v>24.468085106382979</v>
      </c>
      <c r="AW18" s="278">
        <f t="shared" si="6"/>
        <v>106.38297872340425</v>
      </c>
      <c r="AX18" s="232">
        <f>IF(ISNUMBER(AS19),SUM(AU18:AV18),SUM(AU18:AW18))</f>
        <v>24.468085106382979</v>
      </c>
      <c r="AY18" s="279">
        <f t="shared" si="0"/>
        <v>8.211071970452366E-2</v>
      </c>
      <c r="AZ18" s="232">
        <f t="shared" si="4"/>
        <v>4.147149312015258E-2</v>
      </c>
      <c r="BA18" s="232"/>
    </row>
    <row r="19" spans="1:54" ht="21" customHeight="1" thickBot="1" x14ac:dyDescent="0.25">
      <c r="A19" s="246"/>
      <c r="B19" s="302"/>
      <c r="C19" s="239"/>
      <c r="D19" s="239"/>
      <c r="E19" s="239"/>
      <c r="F19" s="303"/>
      <c r="G19" s="304"/>
      <c r="H19" s="239"/>
      <c r="I19" s="239"/>
      <c r="J19" s="239"/>
      <c r="K19" s="239"/>
      <c r="L19" s="319"/>
      <c r="M19" s="239"/>
      <c r="N19" s="305"/>
      <c r="O19" s="238"/>
      <c r="P19" s="246"/>
      <c r="Q19" s="469"/>
      <c r="R19" s="414" t="s">
        <v>130</v>
      </c>
      <c r="S19" s="492">
        <f>$V14/$T$9</f>
        <v>6.6019660038008632E-2</v>
      </c>
      <c r="T19" s="615">
        <f>$V14/$T$10</f>
        <v>0.1657334006530734</v>
      </c>
      <c r="U19" s="616"/>
      <c r="V19" s="492">
        <f>$V14/$T$11</f>
        <v>0.16015521361778112</v>
      </c>
      <c r="W19" s="493">
        <f>$V14/$V$14</f>
        <v>1</v>
      </c>
      <c r="X19" s="238"/>
      <c r="Y19" s="246"/>
      <c r="Z19" s="246"/>
      <c r="AA19" s="246"/>
      <c r="AB19" s="246"/>
      <c r="AC19" s="246"/>
      <c r="AD19" s="246"/>
      <c r="AE19" s="246"/>
      <c r="AF19" s="246"/>
      <c r="AG19" s="246"/>
      <c r="AH19" s="246"/>
      <c r="AI19" s="246"/>
      <c r="AJ19" s="246"/>
      <c r="AK19" s="246"/>
      <c r="AL19" s="246"/>
      <c r="AM19" s="246"/>
      <c r="AN19" s="246"/>
      <c r="AO19" s="246"/>
      <c r="AP19" s="246"/>
      <c r="AQ19" s="246"/>
      <c r="AS19" s="232">
        <f>IF(AS18&lt;$D$14,AS18+1,"")</f>
        <v>15</v>
      </c>
      <c r="AT19" s="278">
        <f>IF(ISNUMBER(AS19),AW18,0)</f>
        <v>106.38297872340425</v>
      </c>
      <c r="AU19" s="278"/>
      <c r="AV19" s="278">
        <f t="shared" si="2"/>
        <v>24.468085106382979</v>
      </c>
      <c r="AW19" s="278">
        <f t="shared" si="6"/>
        <v>106.38297872340425</v>
      </c>
      <c r="AX19" s="232">
        <f t="shared" si="7"/>
        <v>24.468085106382979</v>
      </c>
      <c r="AY19" s="279">
        <f t="shared" si="0"/>
        <v>8.211071970452366E-2</v>
      </c>
      <c r="AZ19" s="232">
        <f t="shared" si="4"/>
        <v>3.9496660114431016E-2</v>
      </c>
      <c r="BA19" s="232"/>
    </row>
    <row r="20" spans="1:54" ht="9.75" customHeight="1" thickBot="1" x14ac:dyDescent="0.25">
      <c r="A20" s="246"/>
      <c r="B20" s="246"/>
      <c r="C20" s="246"/>
      <c r="D20" s="246"/>
      <c r="E20" s="246"/>
      <c r="F20" s="246"/>
      <c r="G20" s="246"/>
      <c r="H20" s="246"/>
      <c r="I20" s="246"/>
      <c r="J20" s="246"/>
      <c r="K20" s="246"/>
      <c r="L20" s="246"/>
      <c r="M20" s="246"/>
      <c r="N20" s="246"/>
      <c r="O20" s="246"/>
      <c r="P20" s="246"/>
      <c r="Q20" s="238"/>
      <c r="R20" s="238"/>
      <c r="S20" s="238"/>
      <c r="T20" s="238"/>
      <c r="U20" s="238"/>
      <c r="V20" s="238"/>
      <c r="W20" s="238"/>
      <c r="Y20" s="246"/>
      <c r="Z20" s="246"/>
      <c r="AA20" s="246"/>
      <c r="AB20" s="246"/>
      <c r="AC20" s="246"/>
      <c r="AD20" s="246"/>
      <c r="AE20" s="246"/>
      <c r="AF20" s="246"/>
      <c r="AG20" s="246"/>
      <c r="AH20" s="246"/>
      <c r="AI20" s="246"/>
      <c r="AJ20" s="246"/>
      <c r="AK20" s="246"/>
      <c r="AL20" s="246"/>
      <c r="AM20" s="246"/>
      <c r="AN20" s="246"/>
      <c r="AO20" s="246"/>
      <c r="AP20" s="246"/>
      <c r="AQ20" s="246"/>
      <c r="AS20" s="232">
        <f t="shared" si="1"/>
        <v>16</v>
      </c>
      <c r="AT20" s="278">
        <f t="shared" si="5"/>
        <v>106.38297872340425</v>
      </c>
      <c r="AU20" s="278"/>
      <c r="AV20" s="278">
        <f t="shared" si="2"/>
        <v>24.468085106382979</v>
      </c>
      <c r="AW20" s="278">
        <f t="shared" si="6"/>
        <v>106.38297872340425</v>
      </c>
      <c r="AX20" s="232">
        <f>IF(ISNUMBER(AS21),SUM(AU20:AV20),SUM(AU20:AW20))</f>
        <v>24.468085106382979</v>
      </c>
      <c r="AY20" s="279">
        <f t="shared" si="0"/>
        <v>8.211071970452366E-2</v>
      </c>
      <c r="AZ20" s="232">
        <f t="shared" si="4"/>
        <v>3.7615866775648592E-2</v>
      </c>
      <c r="BA20" s="232"/>
    </row>
    <row r="21" spans="1:54" ht="10.5" customHeight="1" x14ac:dyDescent="0.2">
      <c r="A21" s="246"/>
      <c r="B21" s="246"/>
      <c r="C21" s="246"/>
      <c r="D21" s="246"/>
      <c r="E21" s="238"/>
      <c r="F21" s="617" t="s">
        <v>562</v>
      </c>
      <c r="G21" s="257" t="s">
        <v>561</v>
      </c>
      <c r="H21" s="258"/>
      <c r="I21" s="487">
        <f>T9</f>
        <v>8.3446106610383194E-2</v>
      </c>
      <c r="J21" s="259"/>
      <c r="K21" s="260"/>
      <c r="L21" s="263"/>
      <c r="M21" s="263"/>
      <c r="N21" s="263"/>
      <c r="O21" s="263"/>
      <c r="P21" s="238"/>
      <c r="Q21" s="557" t="s">
        <v>285</v>
      </c>
      <c r="R21" s="621" t="s">
        <v>243</v>
      </c>
      <c r="S21" s="622"/>
      <c r="T21" s="355"/>
      <c r="U21" s="625" t="s">
        <v>281</v>
      </c>
      <c r="V21" s="625"/>
      <c r="W21" s="626"/>
      <c r="Y21" s="246"/>
      <c r="Z21" s="246"/>
      <c r="AA21" s="246"/>
      <c r="AB21" s="246"/>
      <c r="AC21" s="246"/>
      <c r="AD21" s="246"/>
      <c r="AE21" s="246"/>
      <c r="AF21" s="246"/>
      <c r="AG21" s="246"/>
      <c r="AH21" s="246"/>
      <c r="AI21" s="246"/>
      <c r="AJ21" s="246"/>
      <c r="AK21" s="246"/>
      <c r="AL21" s="246"/>
      <c r="AM21" s="246"/>
      <c r="AN21" s="246"/>
      <c r="AO21" s="246"/>
      <c r="AP21" s="246"/>
      <c r="AQ21" s="246"/>
      <c r="AS21" s="232">
        <f>IF(AS20&lt;$D$14,AS20+1,"")</f>
        <v>17</v>
      </c>
      <c r="AT21" s="278">
        <f>IF(ISNUMBER(AS21),AW20,0)</f>
        <v>106.38297872340425</v>
      </c>
      <c r="AU21" s="278"/>
      <c r="AV21" s="278">
        <f t="shared" si="2"/>
        <v>24.468085106382979</v>
      </c>
      <c r="AW21" s="278">
        <f t="shared" si="6"/>
        <v>106.38297872340425</v>
      </c>
      <c r="AX21" s="232">
        <f t="shared" si="7"/>
        <v>24.468085106382979</v>
      </c>
      <c r="AY21" s="279">
        <f t="shared" si="0"/>
        <v>8.211071970452366E-2</v>
      </c>
      <c r="AZ21" s="232">
        <f t="shared" si="4"/>
        <v>3.5824635024427225E-2</v>
      </c>
      <c r="BA21" s="232"/>
    </row>
    <row r="22" spans="1:54" ht="12" customHeight="1" thickBot="1" x14ac:dyDescent="0.25">
      <c r="A22" s="246"/>
      <c r="B22" s="246"/>
      <c r="C22" s="246"/>
      <c r="D22" s="246"/>
      <c r="E22" s="238"/>
      <c r="F22" s="618"/>
      <c r="G22" s="261" t="s">
        <v>560</v>
      </c>
      <c r="H22" s="262"/>
      <c r="I22" s="488">
        <f>T10</f>
        <v>3.3240635672739161E-2</v>
      </c>
      <c r="J22" s="263"/>
      <c r="K22" s="264"/>
      <c r="L22" s="263"/>
      <c r="M22" s="263"/>
      <c r="N22" s="263"/>
      <c r="O22" s="263"/>
      <c r="P22" s="238"/>
      <c r="Q22" s="619"/>
      <c r="R22" s="623"/>
      <c r="S22" s="624"/>
      <c r="T22" s="356"/>
      <c r="U22" s="627"/>
      <c r="V22" s="627"/>
      <c r="W22" s="628"/>
      <c r="Y22" s="246"/>
      <c r="Z22" s="246"/>
      <c r="AA22" s="246"/>
      <c r="AB22" s="246"/>
      <c r="AC22" s="246"/>
      <c r="AD22" s="246"/>
      <c r="AE22" s="246"/>
      <c r="AF22" s="246"/>
      <c r="AG22" s="246"/>
      <c r="AH22" s="246"/>
      <c r="AI22" s="246"/>
      <c r="AJ22" s="246"/>
      <c r="AK22" s="246"/>
      <c r="AL22" s="246"/>
      <c r="AM22" s="246"/>
      <c r="AN22" s="246"/>
      <c r="AO22" s="246"/>
      <c r="AP22" s="246"/>
      <c r="AQ22" s="246"/>
      <c r="AS22" s="232">
        <f t="shared" si="1"/>
        <v>18</v>
      </c>
      <c r="AT22" s="278">
        <f t="shared" si="5"/>
        <v>106.38297872340425</v>
      </c>
      <c r="AU22" s="278"/>
      <c r="AV22" s="278">
        <f t="shared" si="2"/>
        <v>24.468085106382979</v>
      </c>
      <c r="AW22" s="278">
        <f t="shared" si="6"/>
        <v>106.38297872340425</v>
      </c>
      <c r="AX22" s="232">
        <f t="shared" si="7"/>
        <v>24.468085106382979</v>
      </c>
      <c r="AY22" s="279">
        <f t="shared" si="0"/>
        <v>8.211071970452366E-2</v>
      </c>
      <c r="AZ22" s="232">
        <f t="shared" si="4"/>
        <v>3.4118700023264024E-2</v>
      </c>
      <c r="BA22" s="232"/>
    </row>
    <row r="23" spans="1:54" ht="10.75" customHeight="1" x14ac:dyDescent="0.2">
      <c r="A23" s="246"/>
      <c r="B23" s="565" t="s">
        <v>410</v>
      </c>
      <c r="C23" s="637"/>
      <c r="D23" s="637"/>
      <c r="E23" s="637"/>
      <c r="F23" s="618"/>
      <c r="G23" s="261" t="s">
        <v>390</v>
      </c>
      <c r="H23" s="262"/>
      <c r="I23" s="488">
        <f>T12</f>
        <v>2.2229480621296548E-2</v>
      </c>
      <c r="J23" s="263"/>
      <c r="K23" s="264"/>
      <c r="L23" s="263"/>
      <c r="M23" s="263"/>
      <c r="N23" s="263"/>
      <c r="O23" s="263"/>
      <c r="P23" s="238"/>
      <c r="Q23" s="619"/>
      <c r="R23" s="347" t="s">
        <v>566</v>
      </c>
      <c r="S23" s="494">
        <f>(R37/S37)*T5</f>
        <v>147.78093328626352</v>
      </c>
      <c r="T23" s="495"/>
      <c r="U23" s="496"/>
      <c r="V23" s="496"/>
      <c r="W23" s="497"/>
      <c r="Y23" s="246"/>
      <c r="Z23" s="246"/>
      <c r="AA23" s="246"/>
      <c r="AB23" s="246"/>
      <c r="AC23" s="246"/>
      <c r="AD23" s="246"/>
      <c r="AE23" s="246"/>
      <c r="AF23" s="246"/>
      <c r="AG23" s="246"/>
      <c r="AH23" s="246"/>
      <c r="AI23" s="246"/>
      <c r="AJ23" s="246"/>
      <c r="AK23" s="246"/>
      <c r="AL23" s="246"/>
      <c r="AM23" s="246"/>
      <c r="AN23" s="246"/>
      <c r="AO23" s="246"/>
      <c r="AP23" s="246"/>
      <c r="AQ23" s="246"/>
      <c r="AS23" s="232">
        <f t="shared" si="1"/>
        <v>19</v>
      </c>
      <c r="AT23" s="278">
        <f t="shared" si="5"/>
        <v>106.38297872340425</v>
      </c>
      <c r="AU23" s="278"/>
      <c r="AV23" s="278">
        <f t="shared" si="2"/>
        <v>24.468085106382979</v>
      </c>
      <c r="AW23" s="278">
        <f t="shared" si="6"/>
        <v>106.38297872340425</v>
      </c>
      <c r="AX23" s="232">
        <f t="shared" si="7"/>
        <v>24.468085106382979</v>
      </c>
      <c r="AY23" s="279">
        <f t="shared" si="0"/>
        <v>8.211071970452366E-2</v>
      </c>
      <c r="AZ23" s="232">
        <f t="shared" si="4"/>
        <v>3.2494000022156209E-2</v>
      </c>
      <c r="BA23" s="232"/>
    </row>
    <row r="24" spans="1:54" ht="12.75" customHeight="1" x14ac:dyDescent="0.2">
      <c r="A24" s="246"/>
      <c r="B24" s="638"/>
      <c r="C24" s="639"/>
      <c r="D24" s="639"/>
      <c r="E24" s="639"/>
      <c r="F24" s="618"/>
      <c r="G24" s="261" t="s">
        <v>542</v>
      </c>
      <c r="H24" s="262"/>
      <c r="I24" s="488">
        <f>V14</f>
        <v>5.5090835899129238E-3</v>
      </c>
      <c r="J24" s="263"/>
      <c r="K24" s="264"/>
      <c r="L24" s="263"/>
      <c r="M24" s="263"/>
      <c r="N24" s="263"/>
      <c r="O24" s="263"/>
      <c r="P24" s="238"/>
      <c r="Q24" s="619"/>
      <c r="R24" s="347" t="s">
        <v>570</v>
      </c>
      <c r="S24" s="494">
        <f>T9*$R$37</f>
        <v>236.84200169842438</v>
      </c>
      <c r="T24" s="495"/>
      <c r="U24" s="496" t="s">
        <v>570</v>
      </c>
      <c r="V24" s="496"/>
      <c r="W24" s="497">
        <f>S24/S$23</f>
        <v>1.6026560154390312</v>
      </c>
      <c r="Y24" s="246"/>
      <c r="Z24" s="246"/>
      <c r="AA24" s="246"/>
      <c r="AB24" s="246"/>
      <c r="AC24" s="246"/>
      <c r="AD24" s="246"/>
      <c r="AE24" s="246"/>
      <c r="AF24" s="246"/>
      <c r="AG24" s="246"/>
      <c r="AH24" s="246"/>
      <c r="AI24" s="246"/>
      <c r="AJ24" s="246"/>
      <c r="AK24" s="246"/>
      <c r="AL24" s="246"/>
      <c r="AM24" s="246"/>
      <c r="AN24" s="246"/>
      <c r="AO24" s="246"/>
      <c r="AP24" s="246"/>
      <c r="AQ24" s="246"/>
      <c r="AS24" s="232">
        <f t="shared" si="1"/>
        <v>20</v>
      </c>
      <c r="AT24" s="278">
        <f t="shared" si="5"/>
        <v>106.38297872340425</v>
      </c>
      <c r="AU24" s="278"/>
      <c r="AV24" s="278">
        <f t="shared" si="2"/>
        <v>24.468085106382979</v>
      </c>
      <c r="AW24" s="278">
        <f t="shared" si="6"/>
        <v>106.38297872340425</v>
      </c>
      <c r="AX24" s="232">
        <f>IF(ISNUMBER(AS25),SUM(AU24:AV24),SUM(AU24:AW24))</f>
        <v>130.85106382978722</v>
      </c>
      <c r="AY24" s="279">
        <f t="shared" si="0"/>
        <v>0.37682249951203417</v>
      </c>
      <c r="AZ24" s="232">
        <f t="shared" si="4"/>
        <v>0.14202043697600208</v>
      </c>
      <c r="BA24" s="232"/>
    </row>
    <row r="25" spans="1:54" ht="14.5" customHeight="1" thickBot="1" x14ac:dyDescent="0.25">
      <c r="A25" s="246"/>
      <c r="B25" s="638"/>
      <c r="C25" s="639"/>
      <c r="D25" s="639"/>
      <c r="E25" s="639"/>
      <c r="F25" s="265" t="s">
        <v>574</v>
      </c>
      <c r="G25" s="266"/>
      <c r="H25" s="266"/>
      <c r="I25" s="267">
        <f>V14*J37</f>
        <v>1.5751697853953079</v>
      </c>
      <c r="J25" s="263"/>
      <c r="K25" s="264"/>
      <c r="L25" s="263"/>
      <c r="M25" s="263"/>
      <c r="N25" s="263"/>
      <c r="O25" s="263"/>
      <c r="P25" s="238"/>
      <c r="Q25" s="620"/>
      <c r="R25" s="347" t="s">
        <v>560</v>
      </c>
      <c r="S25" s="494">
        <f>T10*$R$37</f>
        <v>94.345668243316041</v>
      </c>
      <c r="T25" s="495"/>
      <c r="U25" s="496" t="s">
        <v>560</v>
      </c>
      <c r="V25" s="496"/>
      <c r="W25" s="497">
        <f>S25/S$23</f>
        <v>0.63841570184538565</v>
      </c>
      <c r="Y25" s="246"/>
      <c r="Z25" s="246"/>
      <c r="AA25" s="246"/>
      <c r="AB25" s="246"/>
      <c r="AC25" s="246"/>
      <c r="AD25" s="246"/>
      <c r="AE25" s="246"/>
      <c r="AF25" s="246"/>
      <c r="AG25" s="246"/>
      <c r="AH25" s="246"/>
      <c r="AI25" s="246"/>
      <c r="AJ25" s="246"/>
      <c r="AK25" s="246"/>
      <c r="AL25" s="246"/>
      <c r="AM25" s="246"/>
      <c r="AN25" s="246"/>
      <c r="AO25" s="246"/>
      <c r="AP25" s="246"/>
      <c r="AQ25" s="246"/>
      <c r="AS25" s="232" t="str">
        <f>IF(AS24&lt;$D$14,AS24+1,"")</f>
        <v/>
      </c>
      <c r="AT25" s="278">
        <f>IF(ISNUMBER(AS25),AW24,0)</f>
        <v>0</v>
      </c>
      <c r="AU25" s="278"/>
      <c r="AV25" s="278">
        <f t="shared" si="2"/>
        <v>0</v>
      </c>
      <c r="AW25" s="278">
        <f t="shared" si="6"/>
        <v>0</v>
      </c>
      <c r="AX25" s="232">
        <f t="shared" si="7"/>
        <v>0</v>
      </c>
      <c r="AY25" s="279">
        <f t="shared" si="0"/>
        <v>0</v>
      </c>
      <c r="AZ25" s="232">
        <f t="shared" si="4"/>
        <v>0</v>
      </c>
      <c r="BA25" s="232"/>
    </row>
    <row r="26" spans="1:54" ht="12" customHeight="1" thickBot="1" x14ac:dyDescent="0.25">
      <c r="A26" s="246"/>
      <c r="B26" s="567"/>
      <c r="C26" s="640"/>
      <c r="D26" s="640"/>
      <c r="E26" s="640"/>
      <c r="F26" s="247"/>
      <c r="G26" s="238"/>
      <c r="H26" s="238"/>
      <c r="I26" s="238"/>
      <c r="J26" s="238"/>
      <c r="K26" s="244"/>
      <c r="L26" s="238"/>
      <c r="M26" s="238"/>
      <c r="N26" s="238"/>
      <c r="O26" s="263"/>
      <c r="P26" s="238"/>
      <c r="Q26" s="238"/>
      <c r="R26" s="347" t="s">
        <v>390</v>
      </c>
      <c r="S26" s="494">
        <f>T12*$R$37</f>
        <v>63.093113638558911</v>
      </c>
      <c r="T26" s="495"/>
      <c r="U26" s="496" t="s">
        <v>390</v>
      </c>
      <c r="V26" s="496"/>
      <c r="W26" s="497">
        <f>S26/S$23</f>
        <v>0.42693676535620795</v>
      </c>
      <c r="Y26" s="246"/>
      <c r="Z26" s="246"/>
      <c r="AA26" s="246"/>
      <c r="AB26" s="246"/>
      <c r="AC26" s="246"/>
      <c r="AD26" s="246"/>
      <c r="AE26" s="246"/>
      <c r="AF26" s="246"/>
      <c r="AG26" s="246"/>
      <c r="AH26" s="246"/>
      <c r="AI26" s="246"/>
      <c r="AJ26" s="246"/>
      <c r="AK26" s="246"/>
      <c r="AL26" s="246"/>
      <c r="AM26" s="246"/>
      <c r="AN26" s="246"/>
      <c r="AO26" s="246"/>
      <c r="AP26" s="246"/>
      <c r="AQ26" s="246"/>
      <c r="AS26" s="232" t="str">
        <f t="shared" si="1"/>
        <v/>
      </c>
      <c r="AT26" s="278">
        <f t="shared" si="5"/>
        <v>0</v>
      </c>
      <c r="AU26" s="278"/>
      <c r="AV26" s="278">
        <f t="shared" si="2"/>
        <v>0</v>
      </c>
      <c r="AW26" s="278">
        <f t="shared" si="6"/>
        <v>0</v>
      </c>
      <c r="AX26" s="232">
        <f t="shared" si="7"/>
        <v>0</v>
      </c>
      <c r="AY26" s="279">
        <f t="shared" si="0"/>
        <v>0</v>
      </c>
      <c r="AZ26" s="232">
        <f t="shared" si="4"/>
        <v>0</v>
      </c>
      <c r="BA26" s="232"/>
    </row>
    <row r="27" spans="1:54" ht="12.75" customHeight="1" x14ac:dyDescent="0.2">
      <c r="A27" s="246"/>
      <c r="B27" s="246"/>
      <c r="C27" s="246"/>
      <c r="D27" s="246"/>
      <c r="E27" s="238"/>
      <c r="F27" s="268" t="s">
        <v>282</v>
      </c>
      <c r="G27" s="489">
        <f>I21/I$24</f>
        <v>15.147003171847341</v>
      </c>
      <c r="H27" s="269" t="s">
        <v>568</v>
      </c>
      <c r="I27" s="266"/>
      <c r="J27" s="266"/>
      <c r="K27" s="270"/>
      <c r="L27" s="238"/>
      <c r="M27" s="238"/>
      <c r="N27" s="238"/>
      <c r="O27" s="263"/>
      <c r="P27" s="238"/>
      <c r="R27" s="347" t="s">
        <v>542</v>
      </c>
      <c r="S27" s="494">
        <f>V14*$R$37</f>
        <v>15.636228434851441</v>
      </c>
      <c r="T27" s="495"/>
      <c r="U27" s="496" t="s">
        <v>542</v>
      </c>
      <c r="V27" s="496"/>
      <c r="W27" s="497">
        <f>S27/S$23</f>
        <v>0.10580680529715436</v>
      </c>
      <c r="Y27" s="246"/>
      <c r="Z27" s="246"/>
      <c r="AA27" s="246"/>
      <c r="AB27" s="246"/>
      <c r="AC27" s="246"/>
      <c r="AD27" s="246"/>
      <c r="AE27" s="246"/>
      <c r="AF27" s="246"/>
      <c r="AG27" s="246"/>
      <c r="AH27" s="246"/>
      <c r="AI27" s="246"/>
      <c r="AJ27" s="246"/>
      <c r="AK27" s="246"/>
      <c r="AL27" s="246"/>
      <c r="AM27" s="246"/>
      <c r="AN27" s="246"/>
      <c r="AO27" s="246"/>
      <c r="AP27" s="246"/>
      <c r="AQ27" s="246"/>
      <c r="AS27" s="232" t="str">
        <f t="shared" si="1"/>
        <v/>
      </c>
      <c r="AT27" s="278">
        <f t="shared" si="5"/>
        <v>0</v>
      </c>
      <c r="AU27" s="278"/>
      <c r="AV27" s="278">
        <f t="shared" si="2"/>
        <v>0</v>
      </c>
      <c r="AW27" s="278">
        <f t="shared" si="6"/>
        <v>0</v>
      </c>
      <c r="AX27" s="232">
        <f t="shared" si="7"/>
        <v>0</v>
      </c>
      <c r="AY27" s="279">
        <f t="shared" si="0"/>
        <v>0</v>
      </c>
      <c r="AZ27" s="232">
        <f t="shared" si="4"/>
        <v>0</v>
      </c>
      <c r="BA27" s="288"/>
      <c r="BB27" s="246"/>
    </row>
    <row r="28" spans="1:54" s="246" customFormat="1" ht="14.5" customHeight="1" x14ac:dyDescent="0.2">
      <c r="E28" s="238"/>
      <c r="F28" s="268" t="s">
        <v>569</v>
      </c>
      <c r="G28" s="489">
        <f>I22/I$24</f>
        <v>6.0337867687472428</v>
      </c>
      <c r="H28" s="269" t="s">
        <v>568</v>
      </c>
      <c r="I28" s="266"/>
      <c r="J28" s="266"/>
      <c r="K28" s="270"/>
      <c r="L28" s="238"/>
      <c r="M28" s="238"/>
      <c r="N28" s="238"/>
      <c r="O28" s="263"/>
      <c r="P28" s="238"/>
      <c r="R28" s="345" t="s">
        <v>247</v>
      </c>
      <c r="S28" s="498"/>
      <c r="T28" s="495"/>
      <c r="U28" s="495"/>
      <c r="V28" s="495"/>
      <c r="W28" s="499" t="s">
        <v>280</v>
      </c>
      <c r="AS28" s="232" t="str">
        <f t="shared" si="1"/>
        <v/>
      </c>
      <c r="AT28" s="278">
        <f t="shared" si="5"/>
        <v>0</v>
      </c>
      <c r="AU28" s="278"/>
      <c r="AV28" s="278">
        <f t="shared" si="2"/>
        <v>0</v>
      </c>
      <c r="AW28" s="278">
        <f t="shared" si="6"/>
        <v>0</v>
      </c>
      <c r="AX28" s="232">
        <f>IF(ISNUMBER(AS29),SUM(AU28:AV28),SUM(AU28:AW28))</f>
        <v>0</v>
      </c>
      <c r="AY28" s="279">
        <f t="shared" si="0"/>
        <v>0</v>
      </c>
      <c r="AZ28" s="232">
        <f t="shared" si="4"/>
        <v>0</v>
      </c>
      <c r="BA28" s="232"/>
      <c r="BB28" s="233"/>
    </row>
    <row r="29" spans="1:54" ht="13.75" customHeight="1" x14ac:dyDescent="0.2">
      <c r="A29" s="246"/>
      <c r="B29" s="246"/>
      <c r="C29" s="246"/>
      <c r="D29" s="246"/>
      <c r="E29" s="238"/>
      <c r="F29" s="268" t="s">
        <v>407</v>
      </c>
      <c r="G29" s="489">
        <f>I23/I$24</f>
        <v>4.0350595990226941</v>
      </c>
      <c r="H29" s="269" t="s">
        <v>568</v>
      </c>
      <c r="I29" s="266"/>
      <c r="J29" s="266"/>
      <c r="K29" s="270"/>
      <c r="L29" s="238"/>
      <c r="M29" s="238"/>
      <c r="N29" s="238"/>
      <c r="O29" s="263"/>
      <c r="P29" s="238"/>
      <c r="Q29" s="344"/>
      <c r="R29" s="346" t="s">
        <v>570</v>
      </c>
      <c r="S29" s="494">
        <f>IFERROR(IF(S24-S$23&gt;0,S24-S$23,"N/A"),"N/A")</f>
        <v>89.061068412160864</v>
      </c>
      <c r="T29" s="500"/>
      <c r="U29" s="496"/>
      <c r="V29" s="496"/>
      <c r="W29" s="501" t="str">
        <f>IF(AND(S29&lt;&gt;"N/A",S29&gt;=$W$33),R29,"Bednets")</f>
        <v>Deworm the World</v>
      </c>
      <c r="Y29" s="246"/>
      <c r="Z29" s="246"/>
      <c r="AA29" s="246"/>
      <c r="AB29" s="246"/>
      <c r="AC29" s="246"/>
      <c r="AD29" s="246"/>
      <c r="AE29" s="246"/>
      <c r="AF29" s="246"/>
      <c r="AG29" s="246"/>
      <c r="AH29" s="246"/>
      <c r="AI29" s="246"/>
      <c r="AJ29" s="246"/>
      <c r="AK29" s="246"/>
      <c r="AL29" s="246"/>
      <c r="AM29" s="246"/>
      <c r="AN29" s="246"/>
      <c r="AO29" s="246"/>
      <c r="AP29" s="246"/>
      <c r="AQ29" s="246"/>
      <c r="AS29" s="232" t="str">
        <f>IF(AS28&lt;$D$14,AS28+1,"")</f>
        <v/>
      </c>
      <c r="AT29" s="278">
        <f>IF(ISNUMBER(AS29),AW28,0)</f>
        <v>0</v>
      </c>
      <c r="AU29" s="278"/>
      <c r="AV29" s="278">
        <f t="shared" si="2"/>
        <v>0</v>
      </c>
      <c r="AW29" s="278">
        <f t="shared" si="6"/>
        <v>0</v>
      </c>
      <c r="AX29" s="232">
        <f t="shared" si="7"/>
        <v>0</v>
      </c>
      <c r="AY29" s="279">
        <f t="shared" si="0"/>
        <v>0</v>
      </c>
      <c r="AZ29" s="232">
        <f t="shared" si="4"/>
        <v>0</v>
      </c>
      <c r="BA29" s="232"/>
    </row>
    <row r="30" spans="1:54" ht="13.5" customHeight="1" x14ac:dyDescent="0.2">
      <c r="A30" s="246"/>
      <c r="B30" s="246"/>
      <c r="C30" s="246"/>
      <c r="D30" s="246"/>
      <c r="E30" s="238"/>
      <c r="F30" s="247"/>
      <c r="G30" s="238"/>
      <c r="H30" s="238"/>
      <c r="I30" s="238"/>
      <c r="J30" s="263"/>
      <c r="K30" s="264"/>
      <c r="L30" s="238"/>
      <c r="M30" s="238"/>
      <c r="N30" s="238"/>
      <c r="O30" s="263"/>
      <c r="P30" s="238"/>
      <c r="Q30" s="344"/>
      <c r="R30" s="346" t="s">
        <v>560</v>
      </c>
      <c r="S30" s="494" t="str">
        <f>IFERROR(IF(S25-S$23&gt;0,S25-S$23,"N/A"),"N/A")</f>
        <v>N/A</v>
      </c>
      <c r="T30" s="500"/>
      <c r="U30" s="496"/>
      <c r="V30" s="496"/>
      <c r="W30" s="501" t="str">
        <f>IF(AND(S30&lt;&gt;"N/A",S30&gt;=$W$33),R30,"Bednets")</f>
        <v>Bednets</v>
      </c>
      <c r="Y30" s="246"/>
      <c r="Z30" s="246"/>
      <c r="AA30" s="246"/>
      <c r="AB30" s="246"/>
      <c r="AC30" s="246"/>
      <c r="AD30" s="246"/>
      <c r="AE30" s="246"/>
      <c r="AF30" s="246"/>
      <c r="AG30" s="246"/>
      <c r="AH30" s="246"/>
      <c r="AI30" s="246"/>
      <c r="AJ30" s="246"/>
      <c r="AK30" s="246"/>
      <c r="AL30" s="246"/>
      <c r="AM30" s="246"/>
      <c r="AN30" s="246"/>
      <c r="AO30" s="246"/>
      <c r="AP30" s="246"/>
      <c r="AQ30" s="246"/>
      <c r="AS30" s="232" t="str">
        <f t="shared" si="1"/>
        <v/>
      </c>
      <c r="AT30" s="278">
        <f t="shared" si="5"/>
        <v>0</v>
      </c>
      <c r="AU30" s="278"/>
      <c r="AV30" s="278">
        <f t="shared" si="2"/>
        <v>0</v>
      </c>
      <c r="AW30" s="278">
        <f t="shared" si="6"/>
        <v>0</v>
      </c>
      <c r="AX30" s="232">
        <f>IF(ISNUMBER(AS33),SUM(AU30:AV30),SUM(AU30:AW30))</f>
        <v>0</v>
      </c>
      <c r="AY30" s="279">
        <f t="shared" si="0"/>
        <v>0</v>
      </c>
      <c r="AZ30" s="232">
        <f t="shared" si="4"/>
        <v>0</v>
      </c>
      <c r="BA30" s="232"/>
    </row>
    <row r="31" spans="1:54" ht="13.5" customHeight="1" x14ac:dyDescent="0.2">
      <c r="A31" s="246"/>
      <c r="B31" s="246"/>
      <c r="C31" s="246"/>
      <c r="D31" s="246"/>
      <c r="E31" s="238"/>
      <c r="F31" s="618" t="s">
        <v>446</v>
      </c>
      <c r="G31" s="261" t="s">
        <v>570</v>
      </c>
      <c r="H31" s="262"/>
      <c r="I31" s="431">
        <f>V9</f>
        <v>284.50997852841562</v>
      </c>
      <c r="J31" s="263"/>
      <c r="K31" s="264"/>
      <c r="L31" s="238"/>
      <c r="M31" s="238"/>
      <c r="N31" s="238"/>
      <c r="O31" s="263"/>
      <c r="P31" s="238"/>
      <c r="Q31" s="286"/>
      <c r="R31" s="346" t="s">
        <v>390</v>
      </c>
      <c r="S31" s="494" t="str">
        <f>IFERROR(IF(S26-S$23&gt;0,S26-S$23,"N/A"),"N/A")</f>
        <v>N/A</v>
      </c>
      <c r="T31" s="500"/>
      <c r="U31" s="496"/>
      <c r="V31" s="496"/>
      <c r="W31" s="501" t="str">
        <f>IF(AND(S31&lt;&gt;"N/A",S31&gt;=$W$33),R31,"Bednets")</f>
        <v>Bednets</v>
      </c>
      <c r="Y31" s="246"/>
      <c r="Z31" s="246"/>
      <c r="AA31" s="246"/>
      <c r="AB31" s="246"/>
      <c r="AC31" s="246"/>
      <c r="AD31" s="246"/>
      <c r="AE31" s="246"/>
      <c r="AF31" s="246"/>
      <c r="AG31" s="246"/>
      <c r="AH31" s="246"/>
      <c r="AI31" s="246"/>
      <c r="AJ31" s="246"/>
      <c r="AK31" s="246"/>
      <c r="AL31" s="246"/>
      <c r="AM31" s="246"/>
      <c r="AN31" s="246"/>
      <c r="AO31" s="246"/>
      <c r="AP31" s="246"/>
      <c r="AQ31" s="246"/>
      <c r="AS31" s="232"/>
      <c r="AT31" s="278"/>
      <c r="AU31" s="278"/>
      <c r="AV31" s="278"/>
      <c r="AW31" s="278"/>
      <c r="AX31" s="232"/>
      <c r="AY31" s="279"/>
      <c r="AZ31" s="232"/>
      <c r="BA31" s="232"/>
    </row>
    <row r="32" spans="1:54" ht="13.5" customHeight="1" x14ac:dyDescent="0.2">
      <c r="A32" s="246"/>
      <c r="B32" s="246"/>
      <c r="C32" s="246"/>
      <c r="D32" s="246"/>
      <c r="E32" s="238"/>
      <c r="F32" s="618"/>
      <c r="G32" s="261" t="s">
        <v>560</v>
      </c>
      <c r="H32" s="262"/>
      <c r="I32" s="431">
        <f>V10</f>
        <v>714.22370600061481</v>
      </c>
      <c r="J32" s="263"/>
      <c r="K32" s="264"/>
      <c r="L32" s="263"/>
      <c r="M32" s="263"/>
      <c r="N32" s="263"/>
      <c r="O32" s="263"/>
      <c r="P32" s="238"/>
      <c r="Q32" s="286"/>
      <c r="R32" s="352"/>
      <c r="S32" s="353"/>
      <c r="T32" s="353"/>
      <c r="U32" s="353"/>
      <c r="V32" s="353"/>
      <c r="W32" s="354"/>
      <c r="Y32" s="246"/>
      <c r="Z32" s="246"/>
      <c r="AA32" s="246"/>
      <c r="AB32" s="246"/>
      <c r="AC32" s="246"/>
      <c r="AD32" s="246"/>
      <c r="AE32" s="246"/>
      <c r="AF32" s="246"/>
      <c r="AG32" s="246"/>
      <c r="AH32" s="246"/>
      <c r="AI32" s="246"/>
      <c r="AJ32" s="246"/>
      <c r="AK32" s="246"/>
      <c r="AL32" s="246"/>
      <c r="AM32" s="246"/>
      <c r="AN32" s="246"/>
      <c r="AO32" s="246"/>
      <c r="AP32" s="246"/>
      <c r="AQ32" s="246"/>
      <c r="AS32" s="232"/>
      <c r="AT32" s="278"/>
      <c r="AU32" s="278"/>
      <c r="AV32" s="278"/>
      <c r="AW32" s="278"/>
      <c r="AX32" s="232"/>
      <c r="AY32" s="279"/>
      <c r="AZ32" s="232"/>
      <c r="BA32" s="232"/>
    </row>
    <row r="33" spans="1:53" ht="13.75" customHeight="1" thickBot="1" x14ac:dyDescent="0.25">
      <c r="A33" s="246"/>
      <c r="B33" s="246"/>
      <c r="C33" s="246"/>
      <c r="D33" s="246"/>
      <c r="E33" s="246"/>
      <c r="F33" s="618"/>
      <c r="G33" s="261" t="s">
        <v>566</v>
      </c>
      <c r="H33" s="262"/>
      <c r="I33" s="431">
        <f>V11</f>
        <v>690.18465653073258</v>
      </c>
      <c r="J33" s="238"/>
      <c r="K33" s="244"/>
      <c r="L33" s="238"/>
      <c r="M33" s="238"/>
      <c r="N33" s="238"/>
      <c r="O33" s="238"/>
      <c r="P33" s="246"/>
      <c r="Q33" s="286"/>
      <c r="R33" s="642" t="s">
        <v>248</v>
      </c>
      <c r="S33" s="643"/>
      <c r="T33" s="643"/>
      <c r="U33" s="643"/>
      <c r="V33" s="643"/>
      <c r="W33" s="502">
        <f>$G$10*U37</f>
        <v>23.741250000000004</v>
      </c>
      <c r="X33" s="286"/>
      <c r="Y33" s="286"/>
      <c r="Z33" s="246"/>
      <c r="AA33" s="246"/>
      <c r="AB33" s="246"/>
      <c r="AC33" s="246"/>
      <c r="AD33" s="246"/>
      <c r="AE33" s="246"/>
      <c r="AF33" s="246"/>
      <c r="AG33" s="246"/>
      <c r="AH33" s="246"/>
      <c r="AI33" s="246"/>
      <c r="AJ33" s="246"/>
      <c r="AK33" s="246"/>
      <c r="AL33" s="246"/>
      <c r="AM33" s="246"/>
      <c r="AN33" s="246"/>
      <c r="AO33" s="246"/>
      <c r="AP33" s="246"/>
      <c r="AQ33" s="246"/>
      <c r="AS33" s="232" t="str">
        <f>IF(AS30&lt;$D$14,AS30+1,"")</f>
        <v/>
      </c>
      <c r="AT33" s="278">
        <f>IF(ISNUMBER(AS33),AW30,0)</f>
        <v>0</v>
      </c>
      <c r="AU33" s="278"/>
      <c r="AV33" s="278">
        <f t="shared" si="2"/>
        <v>0</v>
      </c>
      <c r="AW33" s="278">
        <f t="shared" si="6"/>
        <v>0</v>
      </c>
      <c r="AX33" s="232">
        <f>IF(ISNUMBER(AS35),SUM(AU33:AV33),SUM(AU33:AW33))</f>
        <v>0</v>
      </c>
      <c r="AY33" s="279">
        <f>LN(AX33+$J$37)-LN($J$37)</f>
        <v>0</v>
      </c>
      <c r="AZ33" s="232">
        <f t="shared" si="4"/>
        <v>0</v>
      </c>
    </row>
    <row r="34" spans="1:53" ht="13.75" customHeight="1" thickBot="1" x14ac:dyDescent="0.25">
      <c r="A34" s="246"/>
      <c r="B34" s="246"/>
      <c r="C34" s="246"/>
      <c r="D34" s="246"/>
      <c r="E34" s="246"/>
      <c r="F34" s="641"/>
      <c r="G34" s="289" t="s">
        <v>390</v>
      </c>
      <c r="H34" s="290"/>
      <c r="I34" s="432" t="str">
        <f>V12</f>
        <v>-</v>
      </c>
      <c r="J34" s="239"/>
      <c r="K34" s="325"/>
      <c r="L34" s="238"/>
      <c r="M34" s="238"/>
      <c r="N34" s="238"/>
      <c r="O34" s="238"/>
      <c r="P34" s="246"/>
      <c r="Q34" s="286"/>
      <c r="R34" s="378"/>
      <c r="S34" s="378"/>
      <c r="T34" s="378"/>
      <c r="U34" s="378"/>
      <c r="V34" s="378"/>
      <c r="W34" s="287"/>
      <c r="X34" s="287"/>
      <c r="Y34" s="286"/>
      <c r="Z34" s="246"/>
      <c r="AA34" s="246"/>
      <c r="AB34" s="246"/>
      <c r="AC34" s="246"/>
      <c r="AD34" s="246"/>
      <c r="AE34" s="246"/>
      <c r="AF34" s="246"/>
      <c r="AG34" s="246"/>
      <c r="AH34" s="246"/>
      <c r="AI34" s="246"/>
      <c r="AJ34" s="246"/>
      <c r="AK34" s="246"/>
      <c r="AL34" s="246"/>
      <c r="AM34" s="246"/>
      <c r="AN34" s="246"/>
      <c r="AO34" s="246"/>
      <c r="AP34" s="246"/>
      <c r="AQ34" s="246"/>
      <c r="AS34" s="232"/>
      <c r="AT34" s="278"/>
      <c r="AU34" s="278"/>
      <c r="AV34" s="278"/>
      <c r="AW34" s="278"/>
      <c r="AX34" s="232"/>
      <c r="AY34" s="279"/>
      <c r="AZ34" s="232"/>
    </row>
    <row r="35" spans="1:53" ht="51" customHeight="1" thickBot="1" x14ac:dyDescent="0.25">
      <c r="B35" s="246"/>
      <c r="C35" s="246"/>
      <c r="D35" s="246"/>
      <c r="E35" s="246"/>
      <c r="F35" s="246"/>
      <c r="G35" s="246"/>
      <c r="H35" s="246"/>
      <c r="I35" s="309"/>
      <c r="J35" s="309"/>
      <c r="K35" s="246"/>
      <c r="L35" s="246"/>
      <c r="M35" s="246"/>
      <c r="N35" s="246"/>
      <c r="O35" s="246"/>
      <c r="P35" s="246"/>
      <c r="Q35" s="286"/>
      <c r="R35" s="286"/>
      <c r="S35" s="286"/>
      <c r="T35" s="286"/>
      <c r="U35" s="286"/>
      <c r="W35" s="246"/>
      <c r="Y35" s="286"/>
      <c r="Z35" s="246"/>
      <c r="AA35" s="246"/>
      <c r="AB35" s="246"/>
      <c r="AC35" s="246"/>
      <c r="AD35" s="246"/>
      <c r="AE35" s="246"/>
      <c r="AF35" s="246"/>
      <c r="AG35" s="246"/>
      <c r="AH35" s="246"/>
      <c r="AI35" s="246"/>
      <c r="AJ35" s="246"/>
      <c r="AK35" s="246"/>
      <c r="AL35" s="246"/>
      <c r="AM35" s="246"/>
      <c r="AN35" s="246"/>
      <c r="AR35" s="232"/>
      <c r="AS35" s="232" t="str">
        <f>IF(AS33&lt;$D$14,AS33+1,"")</f>
        <v/>
      </c>
      <c r="AT35" s="278">
        <f>IF(ISNUMBER(AS35),AW33,0)</f>
        <v>0</v>
      </c>
      <c r="AU35" s="278"/>
      <c r="AV35" s="278">
        <f t="shared" si="2"/>
        <v>0</v>
      </c>
      <c r="AW35" s="278">
        <f t="shared" si="6"/>
        <v>0</v>
      </c>
      <c r="AX35" s="232">
        <f t="shared" si="7"/>
        <v>0</v>
      </c>
      <c r="AY35" s="279">
        <f>LN(AX35+$J$37)-LN($J$37)</f>
        <v>0</v>
      </c>
      <c r="AZ35" s="232">
        <f t="shared" si="4"/>
        <v>0</v>
      </c>
    </row>
    <row r="36" spans="1:53" ht="31.5" customHeight="1" x14ac:dyDescent="0.2">
      <c r="A36" s="246"/>
      <c r="B36" s="644" t="s">
        <v>557</v>
      </c>
      <c r="C36" s="248"/>
      <c r="D36" s="647" t="s">
        <v>552</v>
      </c>
      <c r="E36" s="648"/>
      <c r="F36" s="649"/>
      <c r="G36" s="250" t="s">
        <v>544</v>
      </c>
      <c r="H36" s="647" t="s">
        <v>555</v>
      </c>
      <c r="I36" s="649"/>
      <c r="J36" s="647" t="s">
        <v>554</v>
      </c>
      <c r="K36" s="648"/>
      <c r="L36" s="648"/>
      <c r="M36" s="648"/>
      <c r="N36" s="649"/>
      <c r="O36" s="647" t="s">
        <v>545</v>
      </c>
      <c r="P36" s="649"/>
      <c r="Q36" s="470" t="s">
        <v>546</v>
      </c>
      <c r="R36" s="281" t="s">
        <v>441</v>
      </c>
      <c r="S36" s="466" t="s">
        <v>553</v>
      </c>
      <c r="T36" s="467"/>
      <c r="U36" s="281" t="s">
        <v>435</v>
      </c>
      <c r="V36" s="281" t="s">
        <v>401</v>
      </c>
      <c r="W36" s="283" t="s">
        <v>404</v>
      </c>
      <c r="X36" s="212"/>
      <c r="Y36" s="246"/>
      <c r="Z36" s="246"/>
      <c r="AA36" s="246"/>
      <c r="AB36" s="246"/>
      <c r="AC36" s="246"/>
      <c r="AD36" s="246"/>
      <c r="AE36" s="246"/>
      <c r="AF36" s="246"/>
      <c r="AG36" s="246"/>
      <c r="AH36" s="246"/>
      <c r="AI36" s="246"/>
      <c r="AJ36" s="246"/>
      <c r="AK36" s="246"/>
      <c r="AL36" s="246"/>
      <c r="AM36" s="246"/>
      <c r="AN36" s="246"/>
      <c r="AR36" s="232"/>
      <c r="AS36" s="232" t="str">
        <f t="shared" si="1"/>
        <v/>
      </c>
      <c r="AT36" s="278">
        <f t="shared" si="5"/>
        <v>0</v>
      </c>
      <c r="AU36" s="278"/>
      <c r="AV36" s="278">
        <f t="shared" si="2"/>
        <v>0</v>
      </c>
      <c r="AW36" s="278">
        <f t="shared" si="6"/>
        <v>0</v>
      </c>
      <c r="AX36" s="232">
        <f t="shared" si="7"/>
        <v>0</v>
      </c>
      <c r="AY36" s="279">
        <f>LN(AX36+$J$37)-LN($J$37)</f>
        <v>0</v>
      </c>
      <c r="AZ36" s="232">
        <f t="shared" si="4"/>
        <v>0</v>
      </c>
      <c r="BA36" s="232"/>
    </row>
    <row r="37" spans="1:53" ht="12" customHeight="1" x14ac:dyDescent="0.2">
      <c r="A37" s="246"/>
      <c r="B37" s="645"/>
      <c r="C37" s="251" t="s">
        <v>548</v>
      </c>
      <c r="D37" s="650">
        <f>Parameters!$D$29</f>
        <v>0.26900000000000002</v>
      </c>
      <c r="E37" s="651"/>
      <c r="F37" s="652"/>
      <c r="G37" s="255">
        <f>Parameters!$D$30</f>
        <v>2.41</v>
      </c>
      <c r="H37" s="653">
        <f>Parameters!$D$61</f>
        <v>4.7</v>
      </c>
      <c r="I37" s="654"/>
      <c r="J37" s="629">
        <f>Parameters!$D$58</f>
        <v>285.92228810603416</v>
      </c>
      <c r="K37" s="630"/>
      <c r="L37" s="630"/>
      <c r="M37" s="630"/>
      <c r="N37" s="631"/>
      <c r="O37" s="632">
        <f>Parameters!$D$59</f>
        <v>1000</v>
      </c>
      <c r="P37" s="633"/>
      <c r="Q37" s="280">
        <f>Parameters!$D$60</f>
        <v>212.7659574468085</v>
      </c>
      <c r="R37" s="282">
        <f>Parameters!$D$49</f>
        <v>2838.2630576673801</v>
      </c>
      <c r="S37" s="282">
        <f>Parameters!$D$50</f>
        <v>3.6112369528824271</v>
      </c>
      <c r="T37" s="464"/>
      <c r="U37" s="340">
        <f>Parameters!$D$11</f>
        <v>36.525000000000006</v>
      </c>
      <c r="V37" s="328">
        <f>Parameters!$D$45</f>
        <v>15</v>
      </c>
      <c r="W37" s="320">
        <f>Parameters!$D$46</f>
        <v>0.43099999999999999</v>
      </c>
      <c r="X37" s="316"/>
      <c r="Y37" s="246"/>
      <c r="Z37" s="238"/>
      <c r="AA37" s="246"/>
      <c r="AB37" s="246"/>
      <c r="AC37" s="246"/>
      <c r="AD37" s="246"/>
      <c r="AE37" s="246"/>
      <c r="AF37" s="246"/>
      <c r="AG37" s="246"/>
      <c r="AH37" s="246"/>
      <c r="AI37" s="246"/>
      <c r="AJ37" s="246"/>
      <c r="AK37" s="246"/>
      <c r="AL37" s="246"/>
      <c r="AM37" s="246"/>
      <c r="AN37" s="246"/>
      <c r="AO37" s="246"/>
      <c r="AS37" s="232" t="str">
        <f t="shared" si="1"/>
        <v/>
      </c>
      <c r="AT37" s="278">
        <f t="shared" si="5"/>
        <v>0</v>
      </c>
      <c r="AU37" s="278"/>
      <c r="AV37" s="278">
        <f t="shared" si="2"/>
        <v>0</v>
      </c>
      <c r="AW37" s="278">
        <f t="shared" si="6"/>
        <v>0</v>
      </c>
      <c r="AX37" s="232">
        <f t="shared" si="7"/>
        <v>0</v>
      </c>
      <c r="AY37" s="279">
        <f>LN(AX37+$J$37)-LN($J$37)</f>
        <v>0</v>
      </c>
      <c r="AZ37" s="232">
        <f t="shared" si="4"/>
        <v>0</v>
      </c>
      <c r="BA37" s="232"/>
    </row>
    <row r="38" spans="1:53" ht="12" customHeight="1" thickBot="1" x14ac:dyDescent="0.25">
      <c r="A38" s="246"/>
      <c r="B38" s="646"/>
      <c r="C38" s="252" t="s">
        <v>549</v>
      </c>
      <c r="D38" s="634" t="s">
        <v>218</v>
      </c>
      <c r="E38" s="635"/>
      <c r="F38" s="635"/>
      <c r="G38" s="636"/>
      <c r="H38" s="392" t="s">
        <v>551</v>
      </c>
      <c r="I38" s="393"/>
      <c r="J38" s="393"/>
      <c r="K38" s="393"/>
      <c r="L38" s="393"/>
      <c r="M38" s="393"/>
      <c r="N38" s="393"/>
      <c r="O38" s="393"/>
      <c r="P38" s="393"/>
      <c r="Q38" s="394"/>
      <c r="R38" s="634" t="s">
        <v>131</v>
      </c>
      <c r="S38" s="635"/>
      <c r="T38" s="636"/>
      <c r="U38" s="329" t="s">
        <v>253</v>
      </c>
      <c r="V38" s="330" t="s">
        <v>402</v>
      </c>
      <c r="W38" s="331" t="s">
        <v>349</v>
      </c>
      <c r="X38" s="429"/>
      <c r="Y38" s="246"/>
      <c r="Z38" s="238"/>
      <c r="AA38" s="246"/>
      <c r="AB38" s="246"/>
      <c r="AC38" s="246"/>
      <c r="AD38" s="246"/>
      <c r="AE38" s="246"/>
      <c r="AF38" s="246"/>
      <c r="AG38" s="246"/>
      <c r="AH38" s="246"/>
      <c r="AI38" s="246"/>
      <c r="AJ38" s="246"/>
      <c r="AK38" s="246"/>
      <c r="AL38" s="246"/>
      <c r="AM38" s="246"/>
      <c r="AN38" s="246"/>
      <c r="AO38" s="246"/>
      <c r="AP38" s="246"/>
      <c r="AQ38" s="246"/>
      <c r="AS38" s="232" t="str">
        <f t="shared" si="1"/>
        <v/>
      </c>
      <c r="AT38" s="278">
        <f t="shared" si="5"/>
        <v>0</v>
      </c>
      <c r="AU38" s="278"/>
      <c r="AV38" s="278">
        <f t="shared" si="2"/>
        <v>0</v>
      </c>
      <c r="AW38" s="278">
        <f t="shared" si="6"/>
        <v>0</v>
      </c>
      <c r="AX38" s="232">
        <f t="shared" si="7"/>
        <v>0</v>
      </c>
      <c r="AY38" s="279">
        <f>LN(AX38+$J$37)-LN($J$37)</f>
        <v>0</v>
      </c>
      <c r="AZ38" s="232">
        <f t="shared" si="4"/>
        <v>0</v>
      </c>
      <c r="BA38" s="232"/>
    </row>
    <row r="39" spans="1:53" s="246" customFormat="1" ht="15" x14ac:dyDescent="0.2">
      <c r="J39" s="309"/>
      <c r="K39" s="309"/>
      <c r="L39" s="309"/>
      <c r="M39" s="309"/>
      <c r="Z39" s="238"/>
      <c r="AS39" s="288" t="str">
        <f t="shared" si="1"/>
        <v/>
      </c>
      <c r="AT39" s="326">
        <f t="shared" si="5"/>
        <v>0</v>
      </c>
      <c r="AU39" s="326"/>
      <c r="AV39" s="326">
        <f t="shared" si="2"/>
        <v>0</v>
      </c>
      <c r="AW39" s="326">
        <f t="shared" si="6"/>
        <v>0</v>
      </c>
      <c r="AX39" s="288">
        <f t="shared" si="7"/>
        <v>0</v>
      </c>
      <c r="AY39" s="327">
        <f t="shared" ref="AY39:AY102" si="8">LN(AX39+$J$37)-LN($J$37)</f>
        <v>0</v>
      </c>
      <c r="AZ39" s="288">
        <f t="shared" si="4"/>
        <v>0</v>
      </c>
      <c r="BA39" s="288"/>
    </row>
    <row r="40" spans="1:53" s="246" customFormat="1" ht="15" x14ac:dyDescent="0.2">
      <c r="R40" s="309"/>
      <c r="AS40" s="288" t="str">
        <f t="shared" si="1"/>
        <v/>
      </c>
      <c r="AT40" s="326">
        <f t="shared" si="5"/>
        <v>0</v>
      </c>
      <c r="AU40" s="326"/>
      <c r="AV40" s="326">
        <f t="shared" si="2"/>
        <v>0</v>
      </c>
      <c r="AW40" s="326">
        <f t="shared" si="6"/>
        <v>0</v>
      </c>
      <c r="AX40" s="288">
        <f t="shared" si="7"/>
        <v>0</v>
      </c>
      <c r="AY40" s="327">
        <f t="shared" si="8"/>
        <v>0</v>
      </c>
      <c r="AZ40" s="288">
        <f t="shared" si="4"/>
        <v>0</v>
      </c>
      <c r="BA40" s="288"/>
    </row>
    <row r="41" spans="1:53" s="246" customFormat="1" ht="15" x14ac:dyDescent="0.2">
      <c r="R41" s="309"/>
      <c r="AS41" s="288" t="str">
        <f t="shared" si="1"/>
        <v/>
      </c>
      <c r="AT41" s="326">
        <f t="shared" si="5"/>
        <v>0</v>
      </c>
      <c r="AU41" s="326"/>
      <c r="AV41" s="326">
        <f t="shared" si="2"/>
        <v>0</v>
      </c>
      <c r="AW41" s="326">
        <f t="shared" si="6"/>
        <v>0</v>
      </c>
      <c r="AX41" s="288">
        <f t="shared" si="7"/>
        <v>0</v>
      </c>
      <c r="AY41" s="327">
        <f t="shared" si="8"/>
        <v>0</v>
      </c>
      <c r="AZ41" s="288">
        <f t="shared" si="4"/>
        <v>0</v>
      </c>
      <c r="BA41" s="288"/>
    </row>
    <row r="42" spans="1:53" s="246" customFormat="1" ht="15" x14ac:dyDescent="0.2">
      <c r="R42" s="309"/>
      <c r="S42" s="410"/>
      <c r="AS42" s="288" t="str">
        <f t="shared" si="1"/>
        <v/>
      </c>
      <c r="AT42" s="326">
        <f t="shared" si="5"/>
        <v>0</v>
      </c>
      <c r="AU42" s="326"/>
      <c r="AV42" s="326">
        <f t="shared" si="2"/>
        <v>0</v>
      </c>
      <c r="AW42" s="326">
        <f t="shared" si="6"/>
        <v>0</v>
      </c>
      <c r="AX42" s="288">
        <f t="shared" si="7"/>
        <v>0</v>
      </c>
      <c r="AY42" s="327">
        <f t="shared" si="8"/>
        <v>0</v>
      </c>
      <c r="AZ42" s="288">
        <f t="shared" si="4"/>
        <v>0</v>
      </c>
      <c r="BA42" s="288"/>
    </row>
    <row r="43" spans="1:53" s="246" customFormat="1" ht="15" x14ac:dyDescent="0.2">
      <c r="R43" s="412"/>
      <c r="S43" s="387"/>
      <c r="AS43" s="288" t="str">
        <f t="shared" si="1"/>
        <v/>
      </c>
      <c r="AT43" s="326">
        <f t="shared" si="5"/>
        <v>0</v>
      </c>
      <c r="AU43" s="326"/>
      <c r="AV43" s="326">
        <f t="shared" si="2"/>
        <v>0</v>
      </c>
      <c r="AW43" s="326">
        <f t="shared" si="6"/>
        <v>0</v>
      </c>
      <c r="AX43" s="288">
        <f t="shared" si="7"/>
        <v>0</v>
      </c>
      <c r="AY43" s="327">
        <f t="shared" si="8"/>
        <v>0</v>
      </c>
      <c r="AZ43" s="288">
        <f t="shared" si="4"/>
        <v>0</v>
      </c>
      <c r="BA43" s="288"/>
    </row>
    <row r="44" spans="1:53" s="246" customFormat="1" ht="15" x14ac:dyDescent="0.2">
      <c r="S44" s="387"/>
      <c r="AS44" s="288" t="str">
        <f t="shared" si="1"/>
        <v/>
      </c>
      <c r="AT44" s="326">
        <f t="shared" si="5"/>
        <v>0</v>
      </c>
      <c r="AU44" s="326"/>
      <c r="AV44" s="326">
        <f t="shared" si="2"/>
        <v>0</v>
      </c>
      <c r="AW44" s="326">
        <f t="shared" si="6"/>
        <v>0</v>
      </c>
      <c r="AX44" s="288">
        <f t="shared" si="7"/>
        <v>0</v>
      </c>
      <c r="AY44" s="327">
        <f t="shared" si="8"/>
        <v>0</v>
      </c>
      <c r="AZ44" s="288">
        <f t="shared" si="4"/>
        <v>0</v>
      </c>
      <c r="BA44" s="288"/>
    </row>
    <row r="45" spans="1:53" s="246" customFormat="1" ht="15" x14ac:dyDescent="0.2">
      <c r="S45" s="387"/>
      <c r="AS45" s="288" t="str">
        <f t="shared" si="1"/>
        <v/>
      </c>
      <c r="AT45" s="326">
        <f t="shared" si="5"/>
        <v>0</v>
      </c>
      <c r="AU45" s="326"/>
      <c r="AV45" s="326">
        <f t="shared" si="2"/>
        <v>0</v>
      </c>
      <c r="AW45" s="326">
        <f t="shared" si="6"/>
        <v>0</v>
      </c>
      <c r="AX45" s="288">
        <f t="shared" si="7"/>
        <v>0</v>
      </c>
      <c r="AY45" s="327">
        <f t="shared" si="8"/>
        <v>0</v>
      </c>
      <c r="AZ45" s="288">
        <f t="shared" si="4"/>
        <v>0</v>
      </c>
      <c r="BA45" s="288"/>
    </row>
    <row r="46" spans="1:53" s="246" customFormat="1" ht="15" x14ac:dyDescent="0.2">
      <c r="S46" s="387"/>
      <c r="AS46" s="288" t="str">
        <f t="shared" si="1"/>
        <v/>
      </c>
      <c r="AT46" s="326">
        <f t="shared" si="5"/>
        <v>0</v>
      </c>
      <c r="AU46" s="326"/>
      <c r="AV46" s="326">
        <f t="shared" si="2"/>
        <v>0</v>
      </c>
      <c r="AW46" s="326">
        <f t="shared" si="6"/>
        <v>0</v>
      </c>
      <c r="AX46" s="288">
        <f t="shared" si="7"/>
        <v>0</v>
      </c>
      <c r="AY46" s="327">
        <f t="shared" si="8"/>
        <v>0</v>
      </c>
      <c r="AZ46" s="288">
        <f t="shared" si="4"/>
        <v>0</v>
      </c>
      <c r="BA46" s="288"/>
    </row>
    <row r="47" spans="1:53" s="246" customFormat="1" ht="15" x14ac:dyDescent="0.2">
      <c r="S47" s="387"/>
      <c r="AS47" s="288" t="str">
        <f t="shared" si="1"/>
        <v/>
      </c>
      <c r="AT47" s="326">
        <f t="shared" si="5"/>
        <v>0</v>
      </c>
      <c r="AU47" s="326"/>
      <c r="AV47" s="326">
        <f t="shared" si="2"/>
        <v>0</v>
      </c>
      <c r="AW47" s="326">
        <f t="shared" si="6"/>
        <v>0</v>
      </c>
      <c r="AX47" s="288">
        <f t="shared" si="7"/>
        <v>0</v>
      </c>
      <c r="AY47" s="327">
        <f t="shared" si="8"/>
        <v>0</v>
      </c>
      <c r="AZ47" s="288">
        <f t="shared" si="4"/>
        <v>0</v>
      </c>
      <c r="BA47" s="288"/>
    </row>
    <row r="48" spans="1:53" s="246" customFormat="1" ht="15" x14ac:dyDescent="0.2">
      <c r="AS48" s="288" t="str">
        <f t="shared" si="1"/>
        <v/>
      </c>
      <c r="AT48" s="326">
        <f t="shared" si="5"/>
        <v>0</v>
      </c>
      <c r="AU48" s="326"/>
      <c r="AV48" s="326">
        <f t="shared" si="2"/>
        <v>0</v>
      </c>
      <c r="AW48" s="326">
        <f t="shared" si="6"/>
        <v>0</v>
      </c>
      <c r="AX48" s="288">
        <f t="shared" si="7"/>
        <v>0</v>
      </c>
      <c r="AY48" s="327">
        <f t="shared" si="8"/>
        <v>0</v>
      </c>
      <c r="AZ48" s="288">
        <f t="shared" si="4"/>
        <v>0</v>
      </c>
      <c r="BA48" s="288"/>
    </row>
    <row r="49" spans="45:53" s="246" customFormat="1" ht="15" x14ac:dyDescent="0.2">
      <c r="AS49" s="288" t="str">
        <f t="shared" si="1"/>
        <v/>
      </c>
      <c r="AT49" s="326">
        <f t="shared" si="5"/>
        <v>0</v>
      </c>
      <c r="AU49" s="326"/>
      <c r="AV49" s="326">
        <f t="shared" si="2"/>
        <v>0</v>
      </c>
      <c r="AW49" s="326">
        <f t="shared" si="6"/>
        <v>0</v>
      </c>
      <c r="AX49" s="288">
        <f t="shared" si="7"/>
        <v>0</v>
      </c>
      <c r="AY49" s="327">
        <f t="shared" si="8"/>
        <v>0</v>
      </c>
      <c r="AZ49" s="288">
        <f t="shared" si="4"/>
        <v>0</v>
      </c>
      <c r="BA49" s="288"/>
    </row>
    <row r="50" spans="45:53" s="246" customFormat="1" ht="15" x14ac:dyDescent="0.2">
      <c r="AS50" s="288" t="str">
        <f t="shared" si="1"/>
        <v/>
      </c>
      <c r="AT50" s="326">
        <f t="shared" si="5"/>
        <v>0</v>
      </c>
      <c r="AU50" s="326"/>
      <c r="AV50" s="326">
        <f t="shared" si="2"/>
        <v>0</v>
      </c>
      <c r="AW50" s="326">
        <f t="shared" si="6"/>
        <v>0</v>
      </c>
      <c r="AX50" s="288">
        <f t="shared" si="7"/>
        <v>0</v>
      </c>
      <c r="AY50" s="327">
        <f t="shared" si="8"/>
        <v>0</v>
      </c>
      <c r="AZ50" s="288">
        <f t="shared" si="4"/>
        <v>0</v>
      </c>
      <c r="BA50" s="288"/>
    </row>
    <row r="51" spans="45:53" s="246" customFormat="1" ht="15" x14ac:dyDescent="0.2">
      <c r="AS51" s="288" t="str">
        <f t="shared" si="1"/>
        <v/>
      </c>
      <c r="AT51" s="326">
        <f t="shared" si="5"/>
        <v>0</v>
      </c>
      <c r="AU51" s="326"/>
      <c r="AV51" s="326">
        <f t="shared" si="2"/>
        <v>0</v>
      </c>
      <c r="AW51" s="326">
        <f t="shared" si="6"/>
        <v>0</v>
      </c>
      <c r="AX51" s="288">
        <f t="shared" si="7"/>
        <v>0</v>
      </c>
      <c r="AY51" s="327">
        <f t="shared" si="8"/>
        <v>0</v>
      </c>
      <c r="AZ51" s="288">
        <f t="shared" si="4"/>
        <v>0</v>
      </c>
      <c r="BA51" s="288"/>
    </row>
    <row r="52" spans="45:53" s="246" customFormat="1" ht="15" x14ac:dyDescent="0.2">
      <c r="AS52" s="288" t="str">
        <f t="shared" si="1"/>
        <v/>
      </c>
      <c r="AT52" s="326">
        <f t="shared" si="5"/>
        <v>0</v>
      </c>
      <c r="AU52" s="326"/>
      <c r="AV52" s="326">
        <f t="shared" si="2"/>
        <v>0</v>
      </c>
      <c r="AW52" s="326">
        <f t="shared" si="6"/>
        <v>0</v>
      </c>
      <c r="AX52" s="288">
        <f t="shared" si="7"/>
        <v>0</v>
      </c>
      <c r="AY52" s="327">
        <f t="shared" si="8"/>
        <v>0</v>
      </c>
      <c r="AZ52" s="288">
        <f t="shared" si="4"/>
        <v>0</v>
      </c>
      <c r="BA52" s="288"/>
    </row>
    <row r="53" spans="45:53" s="246" customFormat="1" ht="15" x14ac:dyDescent="0.2">
      <c r="AS53" s="288" t="str">
        <f t="shared" si="1"/>
        <v/>
      </c>
      <c r="AT53" s="326">
        <f t="shared" si="5"/>
        <v>0</v>
      </c>
      <c r="AU53" s="326"/>
      <c r="AV53" s="326">
        <f t="shared" si="2"/>
        <v>0</v>
      </c>
      <c r="AW53" s="326">
        <f t="shared" si="6"/>
        <v>0</v>
      </c>
      <c r="AX53" s="288">
        <f t="shared" si="7"/>
        <v>0</v>
      </c>
      <c r="AY53" s="327">
        <f t="shared" si="8"/>
        <v>0</v>
      </c>
      <c r="AZ53" s="288">
        <f t="shared" si="4"/>
        <v>0</v>
      </c>
      <c r="BA53" s="288"/>
    </row>
    <row r="54" spans="45:53" s="246" customFormat="1" ht="15" x14ac:dyDescent="0.2">
      <c r="AS54" s="288" t="str">
        <f t="shared" si="1"/>
        <v/>
      </c>
      <c r="AT54" s="326">
        <f t="shared" si="5"/>
        <v>0</v>
      </c>
      <c r="AU54" s="326"/>
      <c r="AV54" s="326">
        <f t="shared" si="2"/>
        <v>0</v>
      </c>
      <c r="AW54" s="326">
        <f t="shared" si="6"/>
        <v>0</v>
      </c>
      <c r="AX54" s="288">
        <f t="shared" si="7"/>
        <v>0</v>
      </c>
      <c r="AY54" s="327">
        <f t="shared" si="8"/>
        <v>0</v>
      </c>
      <c r="AZ54" s="288">
        <f t="shared" si="4"/>
        <v>0</v>
      </c>
      <c r="BA54" s="288"/>
    </row>
    <row r="55" spans="45:53" s="246" customFormat="1" ht="15" x14ac:dyDescent="0.2">
      <c r="AS55" s="288" t="str">
        <f t="shared" si="1"/>
        <v/>
      </c>
      <c r="AT55" s="326">
        <f t="shared" si="5"/>
        <v>0</v>
      </c>
      <c r="AU55" s="326"/>
      <c r="AV55" s="326">
        <f t="shared" si="2"/>
        <v>0</v>
      </c>
      <c r="AW55" s="326">
        <f t="shared" si="6"/>
        <v>0</v>
      </c>
      <c r="AX55" s="288">
        <f t="shared" si="7"/>
        <v>0</v>
      </c>
      <c r="AY55" s="327">
        <f t="shared" si="8"/>
        <v>0</v>
      </c>
      <c r="AZ55" s="288">
        <f t="shared" si="4"/>
        <v>0</v>
      </c>
      <c r="BA55" s="288"/>
    </row>
    <row r="56" spans="45:53" s="246" customFormat="1" ht="15" x14ac:dyDescent="0.2">
      <c r="AS56" s="288" t="str">
        <f t="shared" si="1"/>
        <v/>
      </c>
      <c r="AT56" s="326">
        <f t="shared" si="5"/>
        <v>0</v>
      </c>
      <c r="AU56" s="326"/>
      <c r="AV56" s="326">
        <f t="shared" si="2"/>
        <v>0</v>
      </c>
      <c r="AW56" s="326">
        <f t="shared" si="6"/>
        <v>0</v>
      </c>
      <c r="AX56" s="288">
        <f t="shared" si="7"/>
        <v>0</v>
      </c>
      <c r="AY56" s="327">
        <f t="shared" si="8"/>
        <v>0</v>
      </c>
      <c r="AZ56" s="288">
        <f t="shared" si="4"/>
        <v>0</v>
      </c>
      <c r="BA56" s="288"/>
    </row>
    <row r="57" spans="45:53" s="246" customFormat="1" ht="15" x14ac:dyDescent="0.2">
      <c r="AS57" s="288" t="str">
        <f t="shared" si="1"/>
        <v/>
      </c>
      <c r="AT57" s="326">
        <f t="shared" si="5"/>
        <v>0</v>
      </c>
      <c r="AU57" s="326"/>
      <c r="AV57" s="326">
        <f t="shared" si="2"/>
        <v>0</v>
      </c>
      <c r="AW57" s="326">
        <f t="shared" si="6"/>
        <v>0</v>
      </c>
      <c r="AX57" s="288">
        <f t="shared" si="7"/>
        <v>0</v>
      </c>
      <c r="AY57" s="327">
        <f t="shared" si="8"/>
        <v>0</v>
      </c>
      <c r="AZ57" s="288">
        <f t="shared" si="4"/>
        <v>0</v>
      </c>
      <c r="BA57" s="288"/>
    </row>
    <row r="58" spans="45:53" s="246" customFormat="1" ht="15" x14ac:dyDescent="0.2">
      <c r="AS58" s="288" t="str">
        <f t="shared" si="1"/>
        <v/>
      </c>
      <c r="AT58" s="326">
        <f t="shared" si="5"/>
        <v>0</v>
      </c>
      <c r="AU58" s="326"/>
      <c r="AV58" s="326">
        <f t="shared" si="2"/>
        <v>0</v>
      </c>
      <c r="AW58" s="326">
        <f t="shared" si="6"/>
        <v>0</v>
      </c>
      <c r="AX58" s="288">
        <f t="shared" si="7"/>
        <v>0</v>
      </c>
      <c r="AY58" s="327">
        <f t="shared" si="8"/>
        <v>0</v>
      </c>
      <c r="AZ58" s="288">
        <f t="shared" si="4"/>
        <v>0</v>
      </c>
      <c r="BA58" s="288"/>
    </row>
    <row r="59" spans="45:53" s="246" customFormat="1" ht="15" x14ac:dyDescent="0.2">
      <c r="AS59" s="288" t="str">
        <f t="shared" si="1"/>
        <v/>
      </c>
      <c r="AT59" s="326">
        <f t="shared" si="5"/>
        <v>0</v>
      </c>
      <c r="AU59" s="326"/>
      <c r="AV59" s="326">
        <f t="shared" si="2"/>
        <v>0</v>
      </c>
      <c r="AW59" s="326">
        <f t="shared" si="6"/>
        <v>0</v>
      </c>
      <c r="AX59" s="288">
        <f t="shared" si="7"/>
        <v>0</v>
      </c>
      <c r="AY59" s="327">
        <f t="shared" si="8"/>
        <v>0</v>
      </c>
      <c r="AZ59" s="288">
        <f t="shared" si="4"/>
        <v>0</v>
      </c>
      <c r="BA59" s="288"/>
    </row>
    <row r="60" spans="45:53" s="246" customFormat="1" ht="15" x14ac:dyDescent="0.2">
      <c r="AS60" s="288" t="str">
        <f t="shared" si="1"/>
        <v/>
      </c>
      <c r="AT60" s="326">
        <f t="shared" si="5"/>
        <v>0</v>
      </c>
      <c r="AU60" s="326"/>
      <c r="AV60" s="326">
        <f t="shared" si="2"/>
        <v>0</v>
      </c>
      <c r="AW60" s="326">
        <f t="shared" si="6"/>
        <v>0</v>
      </c>
      <c r="AX60" s="288">
        <f t="shared" si="7"/>
        <v>0</v>
      </c>
      <c r="AY60" s="327">
        <f t="shared" si="8"/>
        <v>0</v>
      </c>
      <c r="AZ60" s="288">
        <f t="shared" si="4"/>
        <v>0</v>
      </c>
      <c r="BA60" s="288"/>
    </row>
    <row r="61" spans="45:53" s="246" customFormat="1" ht="15" x14ac:dyDescent="0.2">
      <c r="AS61" s="288" t="str">
        <f t="shared" si="1"/>
        <v/>
      </c>
      <c r="AT61" s="326">
        <f t="shared" si="5"/>
        <v>0</v>
      </c>
      <c r="AU61" s="326"/>
      <c r="AV61" s="326">
        <f t="shared" si="2"/>
        <v>0</v>
      </c>
      <c r="AW61" s="326">
        <f t="shared" si="6"/>
        <v>0</v>
      </c>
      <c r="AX61" s="288">
        <f t="shared" si="7"/>
        <v>0</v>
      </c>
      <c r="AY61" s="327">
        <f t="shared" si="8"/>
        <v>0</v>
      </c>
      <c r="AZ61" s="288">
        <f t="shared" si="4"/>
        <v>0</v>
      </c>
      <c r="BA61" s="288"/>
    </row>
    <row r="62" spans="45:53" s="246" customFormat="1" ht="15" x14ac:dyDescent="0.2">
      <c r="AS62" s="288" t="str">
        <f t="shared" si="1"/>
        <v/>
      </c>
      <c r="AT62" s="326">
        <f t="shared" si="5"/>
        <v>0</v>
      </c>
      <c r="AU62" s="326"/>
      <c r="AV62" s="326">
        <f t="shared" si="2"/>
        <v>0</v>
      </c>
      <c r="AW62" s="326">
        <f t="shared" si="6"/>
        <v>0</v>
      </c>
      <c r="AX62" s="288">
        <f t="shared" si="7"/>
        <v>0</v>
      </c>
      <c r="AY62" s="327">
        <f t="shared" si="8"/>
        <v>0</v>
      </c>
      <c r="AZ62" s="288">
        <f t="shared" si="4"/>
        <v>0</v>
      </c>
      <c r="BA62" s="288"/>
    </row>
    <row r="63" spans="45:53" s="246" customFormat="1" ht="15" x14ac:dyDescent="0.2">
      <c r="AS63" s="288" t="str">
        <f t="shared" si="1"/>
        <v/>
      </c>
      <c r="AT63" s="326">
        <f t="shared" si="5"/>
        <v>0</v>
      </c>
      <c r="AU63" s="326"/>
      <c r="AV63" s="326">
        <f t="shared" si="2"/>
        <v>0</v>
      </c>
      <c r="AW63" s="326">
        <f t="shared" si="6"/>
        <v>0</v>
      </c>
      <c r="AX63" s="288">
        <f t="shared" si="7"/>
        <v>0</v>
      </c>
      <c r="AY63" s="327">
        <f t="shared" si="8"/>
        <v>0</v>
      </c>
      <c r="AZ63" s="288">
        <f t="shared" si="4"/>
        <v>0</v>
      </c>
      <c r="BA63" s="288"/>
    </row>
    <row r="64" spans="45:53" s="246" customFormat="1" ht="15" x14ac:dyDescent="0.2">
      <c r="AS64" s="288" t="str">
        <f t="shared" si="1"/>
        <v/>
      </c>
      <c r="AT64" s="326">
        <f t="shared" si="5"/>
        <v>0</v>
      </c>
      <c r="AU64" s="326"/>
      <c r="AV64" s="326">
        <f t="shared" si="2"/>
        <v>0</v>
      </c>
      <c r="AW64" s="326">
        <f t="shared" si="6"/>
        <v>0</v>
      </c>
      <c r="AX64" s="288">
        <f t="shared" si="7"/>
        <v>0</v>
      </c>
      <c r="AY64" s="327">
        <f t="shared" si="8"/>
        <v>0</v>
      </c>
      <c r="AZ64" s="288">
        <f t="shared" si="4"/>
        <v>0</v>
      </c>
      <c r="BA64" s="288"/>
    </row>
    <row r="65" spans="45:53" s="246" customFormat="1" ht="15" x14ac:dyDescent="0.2">
      <c r="AS65" s="288" t="str">
        <f t="shared" si="1"/>
        <v/>
      </c>
      <c r="AT65" s="326">
        <f t="shared" si="5"/>
        <v>0</v>
      </c>
      <c r="AU65" s="326"/>
      <c r="AV65" s="326">
        <f t="shared" si="2"/>
        <v>0</v>
      </c>
      <c r="AW65" s="326">
        <f t="shared" si="6"/>
        <v>0</v>
      </c>
      <c r="AX65" s="288">
        <f t="shared" si="7"/>
        <v>0</v>
      </c>
      <c r="AY65" s="327">
        <f t="shared" si="8"/>
        <v>0</v>
      </c>
      <c r="AZ65" s="288">
        <f t="shared" si="4"/>
        <v>0</v>
      </c>
      <c r="BA65" s="288"/>
    </row>
    <row r="66" spans="45:53" s="246" customFormat="1" ht="15" x14ac:dyDescent="0.2">
      <c r="AS66" s="288" t="str">
        <f t="shared" si="1"/>
        <v/>
      </c>
      <c r="AT66" s="326">
        <f t="shared" si="5"/>
        <v>0</v>
      </c>
      <c r="AU66" s="326"/>
      <c r="AV66" s="326">
        <f t="shared" si="2"/>
        <v>0</v>
      </c>
      <c r="AW66" s="326">
        <f t="shared" si="6"/>
        <v>0</v>
      </c>
      <c r="AX66" s="288">
        <f t="shared" si="7"/>
        <v>0</v>
      </c>
      <c r="AY66" s="327">
        <f t="shared" si="8"/>
        <v>0</v>
      </c>
      <c r="AZ66" s="288">
        <f t="shared" si="4"/>
        <v>0</v>
      </c>
      <c r="BA66" s="288"/>
    </row>
    <row r="67" spans="45:53" s="246" customFormat="1" ht="15" x14ac:dyDescent="0.2">
      <c r="AS67" s="288" t="str">
        <f t="shared" si="1"/>
        <v/>
      </c>
      <c r="AT67" s="326">
        <f t="shared" si="5"/>
        <v>0</v>
      </c>
      <c r="AU67" s="326"/>
      <c r="AV67" s="326">
        <f t="shared" si="2"/>
        <v>0</v>
      </c>
      <c r="AW67" s="326">
        <f t="shared" si="6"/>
        <v>0</v>
      </c>
      <c r="AX67" s="288">
        <f t="shared" si="7"/>
        <v>0</v>
      </c>
      <c r="AY67" s="327">
        <f t="shared" si="8"/>
        <v>0</v>
      </c>
      <c r="AZ67" s="288">
        <f t="shared" si="4"/>
        <v>0</v>
      </c>
      <c r="BA67" s="288"/>
    </row>
    <row r="68" spans="45:53" s="246" customFormat="1" ht="15" x14ac:dyDescent="0.2">
      <c r="AS68" s="288" t="str">
        <f t="shared" si="1"/>
        <v/>
      </c>
      <c r="AT68" s="326">
        <f t="shared" si="5"/>
        <v>0</v>
      </c>
      <c r="AU68" s="326"/>
      <c r="AV68" s="326">
        <f t="shared" si="2"/>
        <v>0</v>
      </c>
      <c r="AW68" s="326">
        <f t="shared" si="6"/>
        <v>0</v>
      </c>
      <c r="AX68" s="288">
        <f t="shared" si="7"/>
        <v>0</v>
      </c>
      <c r="AY68" s="327">
        <f t="shared" si="8"/>
        <v>0</v>
      </c>
      <c r="AZ68" s="288">
        <f t="shared" si="4"/>
        <v>0</v>
      </c>
      <c r="BA68" s="288"/>
    </row>
    <row r="69" spans="45:53" s="246" customFormat="1" ht="15" x14ac:dyDescent="0.2">
      <c r="AS69" s="288" t="str">
        <f t="shared" ref="AS69:AS114" si="9">IF(AS68&lt;$D$14,AS68+1,"")</f>
        <v/>
      </c>
      <c r="AT69" s="326">
        <f t="shared" si="5"/>
        <v>0</v>
      </c>
      <c r="AU69" s="326"/>
      <c r="AV69" s="326">
        <f t="shared" si="2"/>
        <v>0</v>
      </c>
      <c r="AW69" s="326">
        <f t="shared" si="6"/>
        <v>0</v>
      </c>
      <c r="AX69" s="288">
        <f t="shared" si="7"/>
        <v>0</v>
      </c>
      <c r="AY69" s="327">
        <f t="shared" si="8"/>
        <v>0</v>
      </c>
      <c r="AZ69" s="288">
        <f t="shared" si="4"/>
        <v>0</v>
      </c>
      <c r="BA69" s="288"/>
    </row>
    <row r="70" spans="45:53" s="246" customFormat="1" ht="15" x14ac:dyDescent="0.2">
      <c r="AS70" s="288" t="str">
        <f t="shared" si="9"/>
        <v/>
      </c>
      <c r="AT70" s="326">
        <f t="shared" si="5"/>
        <v>0</v>
      </c>
      <c r="AU70" s="326"/>
      <c r="AV70" s="326">
        <f t="shared" si="2"/>
        <v>0</v>
      </c>
      <c r="AW70" s="326">
        <f t="shared" si="6"/>
        <v>0</v>
      </c>
      <c r="AX70" s="288">
        <f t="shared" si="7"/>
        <v>0</v>
      </c>
      <c r="AY70" s="327">
        <f t="shared" si="8"/>
        <v>0</v>
      </c>
      <c r="AZ70" s="288">
        <f t="shared" si="4"/>
        <v>0</v>
      </c>
      <c r="BA70" s="288"/>
    </row>
    <row r="71" spans="45:53" s="246" customFormat="1" ht="15" x14ac:dyDescent="0.2">
      <c r="AS71" s="288" t="str">
        <f t="shared" si="9"/>
        <v/>
      </c>
      <c r="AT71" s="326">
        <f t="shared" si="5"/>
        <v>0</v>
      </c>
      <c r="AU71" s="326"/>
      <c r="AV71" s="326">
        <f t="shared" si="2"/>
        <v>0</v>
      </c>
      <c r="AW71" s="326">
        <f t="shared" si="6"/>
        <v>0</v>
      </c>
      <c r="AX71" s="288">
        <f t="shared" si="7"/>
        <v>0</v>
      </c>
      <c r="AY71" s="327">
        <f t="shared" si="8"/>
        <v>0</v>
      </c>
      <c r="AZ71" s="288">
        <f t="shared" si="4"/>
        <v>0</v>
      </c>
      <c r="BA71" s="288"/>
    </row>
    <row r="72" spans="45:53" s="246" customFormat="1" ht="15" x14ac:dyDescent="0.2">
      <c r="AS72" s="288" t="str">
        <f t="shared" si="9"/>
        <v/>
      </c>
      <c r="AT72" s="326">
        <f t="shared" si="5"/>
        <v>0</v>
      </c>
      <c r="AU72" s="326"/>
      <c r="AV72" s="326">
        <f t="shared" ref="AV72:AV114" si="10">$D$10*AT72</f>
        <v>0</v>
      </c>
      <c r="AW72" s="326">
        <f t="shared" si="6"/>
        <v>0</v>
      </c>
      <c r="AX72" s="288">
        <f t="shared" si="7"/>
        <v>0</v>
      </c>
      <c r="AY72" s="327">
        <f t="shared" si="8"/>
        <v>0</v>
      </c>
      <c r="AZ72" s="288">
        <f t="shared" ref="AZ72:AZ114" si="11">IF(ISNUMBER(AS72),AY72/(1+$D$7)^AS72,0)</f>
        <v>0</v>
      </c>
      <c r="BA72" s="288"/>
    </row>
    <row r="73" spans="45:53" s="246" customFormat="1" ht="15" x14ac:dyDescent="0.2">
      <c r="AS73" s="288" t="str">
        <f t="shared" si="9"/>
        <v/>
      </c>
      <c r="AT73" s="326">
        <f t="shared" ref="AT73:AT114" si="12">IF(ISNUMBER(AS73),AW72,0)</f>
        <v>0</v>
      </c>
      <c r="AU73" s="326"/>
      <c r="AV73" s="326">
        <f t="shared" si="10"/>
        <v>0</v>
      </c>
      <c r="AW73" s="326">
        <f t="shared" ref="AW73:AW114" si="13">AT73</f>
        <v>0</v>
      </c>
      <c r="AX73" s="288">
        <f t="shared" si="7"/>
        <v>0</v>
      </c>
      <c r="AY73" s="327">
        <f t="shared" si="8"/>
        <v>0</v>
      </c>
      <c r="AZ73" s="288">
        <f t="shared" si="11"/>
        <v>0</v>
      </c>
      <c r="BA73" s="288"/>
    </row>
    <row r="74" spans="45:53" s="246" customFormat="1" ht="15" x14ac:dyDescent="0.2">
      <c r="AS74" s="288" t="str">
        <f t="shared" si="9"/>
        <v/>
      </c>
      <c r="AT74" s="326">
        <f t="shared" si="12"/>
        <v>0</v>
      </c>
      <c r="AU74" s="326"/>
      <c r="AV74" s="326">
        <f t="shared" si="10"/>
        <v>0</v>
      </c>
      <c r="AW74" s="326">
        <f t="shared" si="13"/>
        <v>0</v>
      </c>
      <c r="AX74" s="288">
        <f t="shared" si="7"/>
        <v>0</v>
      </c>
      <c r="AY74" s="327">
        <f t="shared" si="8"/>
        <v>0</v>
      </c>
      <c r="AZ74" s="288">
        <f t="shared" si="11"/>
        <v>0</v>
      </c>
      <c r="BA74" s="288"/>
    </row>
    <row r="75" spans="45:53" s="246" customFormat="1" ht="15" x14ac:dyDescent="0.2">
      <c r="AS75" s="288" t="str">
        <f t="shared" si="9"/>
        <v/>
      </c>
      <c r="AT75" s="326">
        <f t="shared" si="12"/>
        <v>0</v>
      </c>
      <c r="AU75" s="326"/>
      <c r="AV75" s="326">
        <f t="shared" si="10"/>
        <v>0</v>
      </c>
      <c r="AW75" s="326">
        <f t="shared" si="13"/>
        <v>0</v>
      </c>
      <c r="AX75" s="288">
        <f t="shared" si="7"/>
        <v>0</v>
      </c>
      <c r="AY75" s="327">
        <f t="shared" si="8"/>
        <v>0</v>
      </c>
      <c r="AZ75" s="288">
        <f t="shared" si="11"/>
        <v>0</v>
      </c>
      <c r="BA75" s="288"/>
    </row>
    <row r="76" spans="45:53" s="246" customFormat="1" ht="15" x14ac:dyDescent="0.2">
      <c r="AS76" s="288" t="str">
        <f t="shared" si="9"/>
        <v/>
      </c>
      <c r="AT76" s="326">
        <f t="shared" si="12"/>
        <v>0</v>
      </c>
      <c r="AU76" s="326"/>
      <c r="AV76" s="326">
        <f t="shared" si="10"/>
        <v>0</v>
      </c>
      <c r="AW76" s="326">
        <f t="shared" si="13"/>
        <v>0</v>
      </c>
      <c r="AX76" s="288">
        <f t="shared" si="7"/>
        <v>0</v>
      </c>
      <c r="AY76" s="327">
        <f t="shared" si="8"/>
        <v>0</v>
      </c>
      <c r="AZ76" s="288">
        <f t="shared" si="11"/>
        <v>0</v>
      </c>
      <c r="BA76" s="288"/>
    </row>
    <row r="77" spans="45:53" s="246" customFormat="1" ht="15" x14ac:dyDescent="0.2">
      <c r="AS77" s="288" t="str">
        <f t="shared" si="9"/>
        <v/>
      </c>
      <c r="AT77" s="326">
        <f t="shared" si="12"/>
        <v>0</v>
      </c>
      <c r="AU77" s="326"/>
      <c r="AV77" s="326">
        <f t="shared" si="10"/>
        <v>0</v>
      </c>
      <c r="AW77" s="326">
        <f t="shared" si="13"/>
        <v>0</v>
      </c>
      <c r="AX77" s="288">
        <f t="shared" si="7"/>
        <v>0</v>
      </c>
      <c r="AY77" s="327">
        <f t="shared" si="8"/>
        <v>0</v>
      </c>
      <c r="AZ77" s="288">
        <f t="shared" si="11"/>
        <v>0</v>
      </c>
      <c r="BA77" s="288"/>
    </row>
    <row r="78" spans="45:53" s="246" customFormat="1" ht="15" x14ac:dyDescent="0.2">
      <c r="AS78" s="288" t="str">
        <f t="shared" si="9"/>
        <v/>
      </c>
      <c r="AT78" s="326">
        <f t="shared" si="12"/>
        <v>0</v>
      </c>
      <c r="AU78" s="326"/>
      <c r="AV78" s="326">
        <f t="shared" si="10"/>
        <v>0</v>
      </c>
      <c r="AW78" s="326">
        <f t="shared" si="13"/>
        <v>0</v>
      </c>
      <c r="AX78" s="288">
        <f t="shared" si="7"/>
        <v>0</v>
      </c>
      <c r="AY78" s="327">
        <f t="shared" si="8"/>
        <v>0</v>
      </c>
      <c r="AZ78" s="288">
        <f t="shared" si="11"/>
        <v>0</v>
      </c>
      <c r="BA78" s="288"/>
    </row>
    <row r="79" spans="45:53" s="246" customFormat="1" ht="15" x14ac:dyDescent="0.2">
      <c r="AS79" s="288" t="str">
        <f t="shared" si="9"/>
        <v/>
      </c>
      <c r="AT79" s="326">
        <f t="shared" si="12"/>
        <v>0</v>
      </c>
      <c r="AU79" s="326"/>
      <c r="AV79" s="326">
        <f t="shared" si="10"/>
        <v>0</v>
      </c>
      <c r="AW79" s="326">
        <f t="shared" si="13"/>
        <v>0</v>
      </c>
      <c r="AX79" s="288">
        <f t="shared" si="7"/>
        <v>0</v>
      </c>
      <c r="AY79" s="327">
        <f t="shared" si="8"/>
        <v>0</v>
      </c>
      <c r="AZ79" s="288">
        <f t="shared" si="11"/>
        <v>0</v>
      </c>
      <c r="BA79" s="288"/>
    </row>
    <row r="80" spans="45:53" s="246" customFormat="1" ht="15" x14ac:dyDescent="0.2">
      <c r="AS80" s="288" t="str">
        <f t="shared" si="9"/>
        <v/>
      </c>
      <c r="AT80" s="326">
        <f t="shared" si="12"/>
        <v>0</v>
      </c>
      <c r="AU80" s="326"/>
      <c r="AV80" s="326">
        <f t="shared" si="10"/>
        <v>0</v>
      </c>
      <c r="AW80" s="326">
        <f t="shared" si="13"/>
        <v>0</v>
      </c>
      <c r="AX80" s="288">
        <f t="shared" si="7"/>
        <v>0</v>
      </c>
      <c r="AY80" s="327">
        <f t="shared" si="8"/>
        <v>0</v>
      </c>
      <c r="AZ80" s="288">
        <f t="shared" si="11"/>
        <v>0</v>
      </c>
      <c r="BA80" s="288"/>
    </row>
    <row r="81" spans="45:53" s="246" customFormat="1" ht="15" x14ac:dyDescent="0.2">
      <c r="AS81" s="288" t="str">
        <f t="shared" si="9"/>
        <v/>
      </c>
      <c r="AT81" s="326">
        <f t="shared" si="12"/>
        <v>0</v>
      </c>
      <c r="AU81" s="326"/>
      <c r="AV81" s="326">
        <f t="shared" si="10"/>
        <v>0</v>
      </c>
      <c r="AW81" s="326">
        <f t="shared" si="13"/>
        <v>0</v>
      </c>
      <c r="AX81" s="288">
        <f t="shared" si="7"/>
        <v>0</v>
      </c>
      <c r="AY81" s="327">
        <f t="shared" si="8"/>
        <v>0</v>
      </c>
      <c r="AZ81" s="288">
        <f t="shared" si="11"/>
        <v>0</v>
      </c>
      <c r="BA81" s="288"/>
    </row>
    <row r="82" spans="45:53" s="246" customFormat="1" ht="15" x14ac:dyDescent="0.2">
      <c r="AS82" s="288" t="str">
        <f t="shared" si="9"/>
        <v/>
      </c>
      <c r="AT82" s="326">
        <f t="shared" si="12"/>
        <v>0</v>
      </c>
      <c r="AU82" s="326"/>
      <c r="AV82" s="326">
        <f t="shared" si="10"/>
        <v>0</v>
      </c>
      <c r="AW82" s="326">
        <f t="shared" si="13"/>
        <v>0</v>
      </c>
      <c r="AX82" s="288">
        <f t="shared" ref="AX82:AX114" si="14">IF(ISNUMBER(AS83),SUM(AU82:AV82),SUM(AU82:AW82))</f>
        <v>0</v>
      </c>
      <c r="AY82" s="327">
        <f t="shared" si="8"/>
        <v>0</v>
      </c>
      <c r="AZ82" s="288">
        <f t="shared" si="11"/>
        <v>0</v>
      </c>
      <c r="BA82" s="288"/>
    </row>
    <row r="83" spans="45:53" s="246" customFormat="1" ht="15" x14ac:dyDescent="0.2">
      <c r="AS83" s="288" t="str">
        <f t="shared" si="9"/>
        <v/>
      </c>
      <c r="AT83" s="326">
        <f t="shared" si="12"/>
        <v>0</v>
      </c>
      <c r="AU83" s="326"/>
      <c r="AV83" s="326">
        <f t="shared" si="10"/>
        <v>0</v>
      </c>
      <c r="AW83" s="326">
        <f t="shared" si="13"/>
        <v>0</v>
      </c>
      <c r="AX83" s="288">
        <f t="shared" si="14"/>
        <v>0</v>
      </c>
      <c r="AY83" s="327">
        <f t="shared" si="8"/>
        <v>0</v>
      </c>
      <c r="AZ83" s="288">
        <f t="shared" si="11"/>
        <v>0</v>
      </c>
      <c r="BA83" s="288"/>
    </row>
    <row r="84" spans="45:53" s="246" customFormat="1" ht="15" x14ac:dyDescent="0.2">
      <c r="AS84" s="288" t="str">
        <f t="shared" si="9"/>
        <v/>
      </c>
      <c r="AT84" s="326">
        <f t="shared" si="12"/>
        <v>0</v>
      </c>
      <c r="AU84" s="326"/>
      <c r="AV84" s="326">
        <f t="shared" si="10"/>
        <v>0</v>
      </c>
      <c r="AW84" s="326">
        <f t="shared" si="13"/>
        <v>0</v>
      </c>
      <c r="AX84" s="288">
        <f t="shared" si="14"/>
        <v>0</v>
      </c>
      <c r="AY84" s="327">
        <f t="shared" si="8"/>
        <v>0</v>
      </c>
      <c r="AZ84" s="288">
        <f t="shared" si="11"/>
        <v>0</v>
      </c>
      <c r="BA84" s="288"/>
    </row>
    <row r="85" spans="45:53" s="246" customFormat="1" ht="15" x14ac:dyDescent="0.2">
      <c r="AS85" s="288" t="str">
        <f t="shared" si="9"/>
        <v/>
      </c>
      <c r="AT85" s="326">
        <f t="shared" si="12"/>
        <v>0</v>
      </c>
      <c r="AU85" s="326"/>
      <c r="AV85" s="326">
        <f t="shared" si="10"/>
        <v>0</v>
      </c>
      <c r="AW85" s="326">
        <f t="shared" si="13"/>
        <v>0</v>
      </c>
      <c r="AX85" s="288">
        <f t="shared" si="14"/>
        <v>0</v>
      </c>
      <c r="AY85" s="327">
        <f t="shared" si="8"/>
        <v>0</v>
      </c>
      <c r="AZ85" s="288">
        <f t="shared" si="11"/>
        <v>0</v>
      </c>
      <c r="BA85" s="288"/>
    </row>
    <row r="86" spans="45:53" s="246" customFormat="1" ht="15" x14ac:dyDescent="0.2">
      <c r="AS86" s="288" t="str">
        <f t="shared" si="9"/>
        <v/>
      </c>
      <c r="AT86" s="326">
        <f t="shared" si="12"/>
        <v>0</v>
      </c>
      <c r="AU86" s="326"/>
      <c r="AV86" s="326">
        <f t="shared" si="10"/>
        <v>0</v>
      </c>
      <c r="AW86" s="326">
        <f t="shared" si="13"/>
        <v>0</v>
      </c>
      <c r="AX86" s="288">
        <f t="shared" si="14"/>
        <v>0</v>
      </c>
      <c r="AY86" s="327">
        <f t="shared" si="8"/>
        <v>0</v>
      </c>
      <c r="AZ86" s="288">
        <f t="shared" si="11"/>
        <v>0</v>
      </c>
      <c r="BA86" s="288"/>
    </row>
    <row r="87" spans="45:53" s="246" customFormat="1" ht="15" x14ac:dyDescent="0.2">
      <c r="AS87" s="288" t="str">
        <f t="shared" si="9"/>
        <v/>
      </c>
      <c r="AT87" s="326">
        <f t="shared" si="12"/>
        <v>0</v>
      </c>
      <c r="AU87" s="326"/>
      <c r="AV87" s="326">
        <f t="shared" si="10"/>
        <v>0</v>
      </c>
      <c r="AW87" s="326">
        <f t="shared" si="13"/>
        <v>0</v>
      </c>
      <c r="AX87" s="288">
        <f t="shared" si="14"/>
        <v>0</v>
      </c>
      <c r="AY87" s="327">
        <f t="shared" si="8"/>
        <v>0</v>
      </c>
      <c r="AZ87" s="288">
        <f t="shared" si="11"/>
        <v>0</v>
      </c>
      <c r="BA87" s="288"/>
    </row>
    <row r="88" spans="45:53" s="246" customFormat="1" ht="15" x14ac:dyDescent="0.2">
      <c r="AS88" s="288" t="str">
        <f t="shared" si="9"/>
        <v/>
      </c>
      <c r="AT88" s="326">
        <f t="shared" si="12"/>
        <v>0</v>
      </c>
      <c r="AU88" s="326"/>
      <c r="AV88" s="326">
        <f t="shared" si="10"/>
        <v>0</v>
      </c>
      <c r="AW88" s="326">
        <f t="shared" si="13"/>
        <v>0</v>
      </c>
      <c r="AX88" s="288">
        <f t="shared" si="14"/>
        <v>0</v>
      </c>
      <c r="AY88" s="327">
        <f t="shared" si="8"/>
        <v>0</v>
      </c>
      <c r="AZ88" s="288">
        <f t="shared" si="11"/>
        <v>0</v>
      </c>
      <c r="BA88" s="288"/>
    </row>
    <row r="89" spans="45:53" s="246" customFormat="1" ht="15" x14ac:dyDescent="0.2">
      <c r="AS89" s="288" t="str">
        <f t="shared" si="9"/>
        <v/>
      </c>
      <c r="AT89" s="326">
        <f t="shared" si="12"/>
        <v>0</v>
      </c>
      <c r="AU89" s="326"/>
      <c r="AV89" s="326">
        <f t="shared" si="10"/>
        <v>0</v>
      </c>
      <c r="AW89" s="326">
        <f t="shared" si="13"/>
        <v>0</v>
      </c>
      <c r="AX89" s="288">
        <f t="shared" si="14"/>
        <v>0</v>
      </c>
      <c r="AY89" s="327">
        <f t="shared" si="8"/>
        <v>0</v>
      </c>
      <c r="AZ89" s="288">
        <f t="shared" si="11"/>
        <v>0</v>
      </c>
      <c r="BA89" s="288"/>
    </row>
    <row r="90" spans="45:53" s="246" customFormat="1" ht="15" x14ac:dyDescent="0.2">
      <c r="AS90" s="288" t="str">
        <f t="shared" si="9"/>
        <v/>
      </c>
      <c r="AT90" s="326">
        <f t="shared" si="12"/>
        <v>0</v>
      </c>
      <c r="AU90" s="326"/>
      <c r="AV90" s="326">
        <f t="shared" si="10"/>
        <v>0</v>
      </c>
      <c r="AW90" s="326">
        <f t="shared" si="13"/>
        <v>0</v>
      </c>
      <c r="AX90" s="288">
        <f t="shared" si="14"/>
        <v>0</v>
      </c>
      <c r="AY90" s="327">
        <f t="shared" si="8"/>
        <v>0</v>
      </c>
      <c r="AZ90" s="288">
        <f t="shared" si="11"/>
        <v>0</v>
      </c>
      <c r="BA90" s="288"/>
    </row>
    <row r="91" spans="45:53" s="246" customFormat="1" ht="15" x14ac:dyDescent="0.2">
      <c r="AS91" s="288" t="str">
        <f t="shared" si="9"/>
        <v/>
      </c>
      <c r="AT91" s="326">
        <f t="shared" si="12"/>
        <v>0</v>
      </c>
      <c r="AU91" s="326"/>
      <c r="AV91" s="326">
        <f t="shared" si="10"/>
        <v>0</v>
      </c>
      <c r="AW91" s="326">
        <f t="shared" si="13"/>
        <v>0</v>
      </c>
      <c r="AX91" s="288">
        <f t="shared" si="14"/>
        <v>0</v>
      </c>
      <c r="AY91" s="327">
        <f t="shared" si="8"/>
        <v>0</v>
      </c>
      <c r="AZ91" s="288">
        <f t="shared" si="11"/>
        <v>0</v>
      </c>
      <c r="BA91" s="288"/>
    </row>
    <row r="92" spans="45:53" s="246" customFormat="1" ht="15" x14ac:dyDescent="0.2">
      <c r="AS92" s="288" t="str">
        <f t="shared" si="9"/>
        <v/>
      </c>
      <c r="AT92" s="326">
        <f t="shared" si="12"/>
        <v>0</v>
      </c>
      <c r="AU92" s="326"/>
      <c r="AV92" s="326">
        <f t="shared" si="10"/>
        <v>0</v>
      </c>
      <c r="AW92" s="326">
        <f t="shared" si="13"/>
        <v>0</v>
      </c>
      <c r="AX92" s="288">
        <f t="shared" si="14"/>
        <v>0</v>
      </c>
      <c r="AY92" s="327">
        <f t="shared" si="8"/>
        <v>0</v>
      </c>
      <c r="AZ92" s="288">
        <f t="shared" si="11"/>
        <v>0</v>
      </c>
      <c r="BA92" s="288"/>
    </row>
    <row r="93" spans="45:53" s="246" customFormat="1" ht="15" x14ac:dyDescent="0.2">
      <c r="AS93" s="288" t="str">
        <f t="shared" si="9"/>
        <v/>
      </c>
      <c r="AT93" s="326">
        <f t="shared" si="12"/>
        <v>0</v>
      </c>
      <c r="AU93" s="326"/>
      <c r="AV93" s="326">
        <f t="shared" si="10"/>
        <v>0</v>
      </c>
      <c r="AW93" s="326">
        <f t="shared" si="13"/>
        <v>0</v>
      </c>
      <c r="AX93" s="288">
        <f t="shared" si="14"/>
        <v>0</v>
      </c>
      <c r="AY93" s="327">
        <f t="shared" si="8"/>
        <v>0</v>
      </c>
      <c r="AZ93" s="288">
        <f t="shared" si="11"/>
        <v>0</v>
      </c>
      <c r="BA93" s="288"/>
    </row>
    <row r="94" spans="45:53" s="246" customFormat="1" ht="15" x14ac:dyDescent="0.2">
      <c r="AS94" s="288" t="str">
        <f t="shared" si="9"/>
        <v/>
      </c>
      <c r="AT94" s="326">
        <f t="shared" si="12"/>
        <v>0</v>
      </c>
      <c r="AU94" s="326"/>
      <c r="AV94" s="326">
        <f t="shared" si="10"/>
        <v>0</v>
      </c>
      <c r="AW94" s="326">
        <f t="shared" si="13"/>
        <v>0</v>
      </c>
      <c r="AX94" s="288">
        <f t="shared" si="14"/>
        <v>0</v>
      </c>
      <c r="AY94" s="327">
        <f t="shared" si="8"/>
        <v>0</v>
      </c>
      <c r="AZ94" s="288">
        <f t="shared" si="11"/>
        <v>0</v>
      </c>
      <c r="BA94" s="288"/>
    </row>
    <row r="95" spans="45:53" s="246" customFormat="1" ht="15" x14ac:dyDescent="0.2">
      <c r="AS95" s="288" t="str">
        <f t="shared" si="9"/>
        <v/>
      </c>
      <c r="AT95" s="326">
        <f t="shared" si="12"/>
        <v>0</v>
      </c>
      <c r="AU95" s="326"/>
      <c r="AV95" s="326">
        <f t="shared" si="10"/>
        <v>0</v>
      </c>
      <c r="AW95" s="326">
        <f t="shared" si="13"/>
        <v>0</v>
      </c>
      <c r="AX95" s="288">
        <f t="shared" si="14"/>
        <v>0</v>
      </c>
      <c r="AY95" s="327">
        <f t="shared" si="8"/>
        <v>0</v>
      </c>
      <c r="AZ95" s="288">
        <f t="shared" si="11"/>
        <v>0</v>
      </c>
      <c r="BA95" s="288"/>
    </row>
    <row r="96" spans="45:53" s="246" customFormat="1" ht="15" x14ac:dyDescent="0.2">
      <c r="AS96" s="288" t="str">
        <f t="shared" si="9"/>
        <v/>
      </c>
      <c r="AT96" s="326">
        <f t="shared" si="12"/>
        <v>0</v>
      </c>
      <c r="AU96" s="326"/>
      <c r="AV96" s="326">
        <f t="shared" si="10"/>
        <v>0</v>
      </c>
      <c r="AW96" s="326">
        <f t="shared" si="13"/>
        <v>0</v>
      </c>
      <c r="AX96" s="288">
        <f t="shared" si="14"/>
        <v>0</v>
      </c>
      <c r="AY96" s="327">
        <f t="shared" si="8"/>
        <v>0</v>
      </c>
      <c r="AZ96" s="288">
        <f t="shared" si="11"/>
        <v>0</v>
      </c>
      <c r="BA96" s="288"/>
    </row>
    <row r="97" spans="45:53" s="246" customFormat="1" ht="15" x14ac:dyDescent="0.2">
      <c r="AS97" s="288" t="str">
        <f t="shared" si="9"/>
        <v/>
      </c>
      <c r="AT97" s="326">
        <f t="shared" si="12"/>
        <v>0</v>
      </c>
      <c r="AU97" s="326"/>
      <c r="AV97" s="326">
        <f t="shared" si="10"/>
        <v>0</v>
      </c>
      <c r="AW97" s="326">
        <f t="shared" si="13"/>
        <v>0</v>
      </c>
      <c r="AX97" s="288">
        <f t="shared" si="14"/>
        <v>0</v>
      </c>
      <c r="AY97" s="327">
        <f t="shared" si="8"/>
        <v>0</v>
      </c>
      <c r="AZ97" s="288">
        <f t="shared" si="11"/>
        <v>0</v>
      </c>
      <c r="BA97" s="288"/>
    </row>
    <row r="98" spans="45:53" s="246" customFormat="1" ht="15" x14ac:dyDescent="0.2">
      <c r="AS98" s="288" t="str">
        <f t="shared" si="9"/>
        <v/>
      </c>
      <c r="AT98" s="326">
        <f t="shared" si="12"/>
        <v>0</v>
      </c>
      <c r="AU98" s="326"/>
      <c r="AV98" s="326">
        <f t="shared" si="10"/>
        <v>0</v>
      </c>
      <c r="AW98" s="326">
        <f t="shared" si="13"/>
        <v>0</v>
      </c>
      <c r="AX98" s="288">
        <f t="shared" si="14"/>
        <v>0</v>
      </c>
      <c r="AY98" s="327">
        <f t="shared" si="8"/>
        <v>0</v>
      </c>
      <c r="AZ98" s="288">
        <f t="shared" si="11"/>
        <v>0</v>
      </c>
      <c r="BA98" s="288"/>
    </row>
    <row r="99" spans="45:53" s="246" customFormat="1" ht="15" x14ac:dyDescent="0.2">
      <c r="AS99" s="288" t="str">
        <f t="shared" si="9"/>
        <v/>
      </c>
      <c r="AT99" s="326">
        <f t="shared" si="12"/>
        <v>0</v>
      </c>
      <c r="AU99" s="326"/>
      <c r="AV99" s="326">
        <f t="shared" si="10"/>
        <v>0</v>
      </c>
      <c r="AW99" s="326">
        <f t="shared" si="13"/>
        <v>0</v>
      </c>
      <c r="AX99" s="288">
        <f t="shared" si="14"/>
        <v>0</v>
      </c>
      <c r="AY99" s="327">
        <f t="shared" si="8"/>
        <v>0</v>
      </c>
      <c r="AZ99" s="288">
        <f t="shared" si="11"/>
        <v>0</v>
      </c>
      <c r="BA99" s="288"/>
    </row>
    <row r="100" spans="45:53" s="246" customFormat="1" ht="15" x14ac:dyDescent="0.2">
      <c r="AS100" s="288" t="str">
        <f t="shared" si="9"/>
        <v/>
      </c>
      <c r="AT100" s="326">
        <f t="shared" si="12"/>
        <v>0</v>
      </c>
      <c r="AU100" s="326"/>
      <c r="AV100" s="326">
        <f t="shared" si="10"/>
        <v>0</v>
      </c>
      <c r="AW100" s="326">
        <f t="shared" si="13"/>
        <v>0</v>
      </c>
      <c r="AX100" s="288">
        <f t="shared" si="14"/>
        <v>0</v>
      </c>
      <c r="AY100" s="327">
        <f t="shared" si="8"/>
        <v>0</v>
      </c>
      <c r="AZ100" s="288">
        <f t="shared" si="11"/>
        <v>0</v>
      </c>
      <c r="BA100" s="288"/>
    </row>
    <row r="101" spans="45:53" s="246" customFormat="1" ht="15" x14ac:dyDescent="0.2">
      <c r="AS101" s="288" t="str">
        <f t="shared" si="9"/>
        <v/>
      </c>
      <c r="AT101" s="326">
        <f t="shared" si="12"/>
        <v>0</v>
      </c>
      <c r="AU101" s="326"/>
      <c r="AV101" s="326">
        <f t="shared" si="10"/>
        <v>0</v>
      </c>
      <c r="AW101" s="326">
        <f t="shared" si="13"/>
        <v>0</v>
      </c>
      <c r="AX101" s="288">
        <f t="shared" si="14"/>
        <v>0</v>
      </c>
      <c r="AY101" s="327">
        <f t="shared" si="8"/>
        <v>0</v>
      </c>
      <c r="AZ101" s="288">
        <f t="shared" si="11"/>
        <v>0</v>
      </c>
      <c r="BA101" s="288"/>
    </row>
    <row r="102" spans="45:53" s="246" customFormat="1" ht="15" x14ac:dyDescent="0.2">
      <c r="AS102" s="288" t="str">
        <f t="shared" si="9"/>
        <v/>
      </c>
      <c r="AT102" s="326">
        <f t="shared" si="12"/>
        <v>0</v>
      </c>
      <c r="AU102" s="326"/>
      <c r="AV102" s="326">
        <f t="shared" si="10"/>
        <v>0</v>
      </c>
      <c r="AW102" s="326">
        <f t="shared" si="13"/>
        <v>0</v>
      </c>
      <c r="AX102" s="288">
        <f t="shared" si="14"/>
        <v>0</v>
      </c>
      <c r="AY102" s="327">
        <f t="shared" si="8"/>
        <v>0</v>
      </c>
      <c r="AZ102" s="288">
        <f t="shared" si="11"/>
        <v>0</v>
      </c>
      <c r="BA102" s="288"/>
    </row>
    <row r="103" spans="45:53" s="246" customFormat="1" ht="15" x14ac:dyDescent="0.2">
      <c r="AS103" s="288" t="str">
        <f t="shared" si="9"/>
        <v/>
      </c>
      <c r="AT103" s="326">
        <f t="shared" si="12"/>
        <v>0</v>
      </c>
      <c r="AU103" s="326"/>
      <c r="AV103" s="326">
        <f t="shared" si="10"/>
        <v>0</v>
      </c>
      <c r="AW103" s="326">
        <f t="shared" si="13"/>
        <v>0</v>
      </c>
      <c r="AX103" s="288">
        <f t="shared" si="14"/>
        <v>0</v>
      </c>
      <c r="AY103" s="327">
        <f t="shared" ref="AY103:AY114" si="15">LN(AX103+$J$37)-LN($J$37)</f>
        <v>0</v>
      </c>
      <c r="AZ103" s="288">
        <f t="shared" si="11"/>
        <v>0</v>
      </c>
      <c r="BA103" s="288"/>
    </row>
    <row r="104" spans="45:53" s="246" customFormat="1" ht="15" x14ac:dyDescent="0.2">
      <c r="AS104" s="288" t="str">
        <f t="shared" si="9"/>
        <v/>
      </c>
      <c r="AT104" s="326">
        <f t="shared" si="12"/>
        <v>0</v>
      </c>
      <c r="AU104" s="326"/>
      <c r="AV104" s="326">
        <f t="shared" si="10"/>
        <v>0</v>
      </c>
      <c r="AW104" s="326">
        <f t="shared" si="13"/>
        <v>0</v>
      </c>
      <c r="AX104" s="288">
        <f t="shared" si="14"/>
        <v>0</v>
      </c>
      <c r="AY104" s="327">
        <f t="shared" si="15"/>
        <v>0</v>
      </c>
      <c r="AZ104" s="288">
        <f t="shared" si="11"/>
        <v>0</v>
      </c>
      <c r="BA104" s="288"/>
    </row>
    <row r="105" spans="45:53" s="246" customFormat="1" ht="15" x14ac:dyDescent="0.2">
      <c r="AS105" s="288" t="str">
        <f t="shared" si="9"/>
        <v/>
      </c>
      <c r="AT105" s="326">
        <f t="shared" si="12"/>
        <v>0</v>
      </c>
      <c r="AU105" s="326"/>
      <c r="AV105" s="326">
        <f t="shared" si="10"/>
        <v>0</v>
      </c>
      <c r="AW105" s="326">
        <f t="shared" si="13"/>
        <v>0</v>
      </c>
      <c r="AX105" s="288">
        <f t="shared" si="14"/>
        <v>0</v>
      </c>
      <c r="AY105" s="327">
        <f t="shared" si="15"/>
        <v>0</v>
      </c>
      <c r="AZ105" s="288">
        <f t="shared" si="11"/>
        <v>0</v>
      </c>
      <c r="BA105" s="288"/>
    </row>
    <row r="106" spans="45:53" s="246" customFormat="1" ht="15" x14ac:dyDescent="0.2">
      <c r="AS106" s="288" t="str">
        <f t="shared" si="9"/>
        <v/>
      </c>
      <c r="AT106" s="326">
        <f t="shared" si="12"/>
        <v>0</v>
      </c>
      <c r="AU106" s="326"/>
      <c r="AV106" s="326">
        <f t="shared" si="10"/>
        <v>0</v>
      </c>
      <c r="AW106" s="326">
        <f t="shared" si="13"/>
        <v>0</v>
      </c>
      <c r="AX106" s="288">
        <f t="shared" si="14"/>
        <v>0</v>
      </c>
      <c r="AY106" s="327">
        <f t="shared" si="15"/>
        <v>0</v>
      </c>
      <c r="AZ106" s="288">
        <f t="shared" si="11"/>
        <v>0</v>
      </c>
      <c r="BA106" s="288"/>
    </row>
    <row r="107" spans="45:53" s="246" customFormat="1" ht="15" x14ac:dyDescent="0.2">
      <c r="AS107" s="288" t="str">
        <f t="shared" si="9"/>
        <v/>
      </c>
      <c r="AT107" s="326">
        <f t="shared" si="12"/>
        <v>0</v>
      </c>
      <c r="AU107" s="326"/>
      <c r="AV107" s="326">
        <f t="shared" si="10"/>
        <v>0</v>
      </c>
      <c r="AW107" s="326">
        <f t="shared" si="13"/>
        <v>0</v>
      </c>
      <c r="AX107" s="288">
        <f t="shared" si="14"/>
        <v>0</v>
      </c>
      <c r="AY107" s="327">
        <f t="shared" si="15"/>
        <v>0</v>
      </c>
      <c r="AZ107" s="288">
        <f t="shared" si="11"/>
        <v>0</v>
      </c>
      <c r="BA107" s="288"/>
    </row>
    <row r="108" spans="45:53" s="246" customFormat="1" ht="15" x14ac:dyDescent="0.2">
      <c r="AS108" s="288" t="str">
        <f t="shared" si="9"/>
        <v/>
      </c>
      <c r="AT108" s="326">
        <f t="shared" si="12"/>
        <v>0</v>
      </c>
      <c r="AU108" s="326"/>
      <c r="AV108" s="326">
        <f t="shared" si="10"/>
        <v>0</v>
      </c>
      <c r="AW108" s="326">
        <f t="shared" si="13"/>
        <v>0</v>
      </c>
      <c r="AX108" s="288">
        <f t="shared" si="14"/>
        <v>0</v>
      </c>
      <c r="AY108" s="327">
        <f t="shared" si="15"/>
        <v>0</v>
      </c>
      <c r="AZ108" s="288">
        <f t="shared" si="11"/>
        <v>0</v>
      </c>
      <c r="BA108" s="288"/>
    </row>
    <row r="109" spans="45:53" s="246" customFormat="1" ht="15" x14ac:dyDescent="0.2">
      <c r="AS109" s="288" t="str">
        <f t="shared" si="9"/>
        <v/>
      </c>
      <c r="AT109" s="326">
        <f t="shared" si="12"/>
        <v>0</v>
      </c>
      <c r="AU109" s="326"/>
      <c r="AV109" s="326">
        <f t="shared" si="10"/>
        <v>0</v>
      </c>
      <c r="AW109" s="326">
        <f t="shared" si="13"/>
        <v>0</v>
      </c>
      <c r="AX109" s="288">
        <f t="shared" si="14"/>
        <v>0</v>
      </c>
      <c r="AY109" s="327">
        <f t="shared" si="15"/>
        <v>0</v>
      </c>
      <c r="AZ109" s="288">
        <f t="shared" si="11"/>
        <v>0</v>
      </c>
      <c r="BA109" s="288"/>
    </row>
    <row r="110" spans="45:53" s="246" customFormat="1" ht="15" x14ac:dyDescent="0.2">
      <c r="AS110" s="288" t="str">
        <f t="shared" si="9"/>
        <v/>
      </c>
      <c r="AT110" s="326">
        <f t="shared" si="12"/>
        <v>0</v>
      </c>
      <c r="AU110" s="326"/>
      <c r="AV110" s="326">
        <f t="shared" si="10"/>
        <v>0</v>
      </c>
      <c r="AW110" s="326">
        <f t="shared" si="13"/>
        <v>0</v>
      </c>
      <c r="AX110" s="288">
        <f t="shared" si="14"/>
        <v>0</v>
      </c>
      <c r="AY110" s="327">
        <f t="shared" si="15"/>
        <v>0</v>
      </c>
      <c r="AZ110" s="288">
        <f t="shared" si="11"/>
        <v>0</v>
      </c>
      <c r="BA110" s="288"/>
    </row>
    <row r="111" spans="45:53" s="246" customFormat="1" ht="15" x14ac:dyDescent="0.2">
      <c r="AS111" s="288" t="str">
        <f t="shared" si="9"/>
        <v/>
      </c>
      <c r="AT111" s="326">
        <f t="shared" si="12"/>
        <v>0</v>
      </c>
      <c r="AU111" s="326"/>
      <c r="AV111" s="326">
        <f t="shared" si="10"/>
        <v>0</v>
      </c>
      <c r="AW111" s="326">
        <f t="shared" si="13"/>
        <v>0</v>
      </c>
      <c r="AX111" s="288">
        <f t="shared" si="14"/>
        <v>0</v>
      </c>
      <c r="AY111" s="327">
        <f t="shared" si="15"/>
        <v>0</v>
      </c>
      <c r="AZ111" s="288">
        <f t="shared" si="11"/>
        <v>0</v>
      </c>
      <c r="BA111" s="288"/>
    </row>
    <row r="112" spans="45:53" s="246" customFormat="1" ht="15" x14ac:dyDescent="0.2">
      <c r="AS112" s="288" t="str">
        <f t="shared" si="9"/>
        <v/>
      </c>
      <c r="AT112" s="326">
        <f t="shared" si="12"/>
        <v>0</v>
      </c>
      <c r="AU112" s="326"/>
      <c r="AV112" s="326">
        <f t="shared" si="10"/>
        <v>0</v>
      </c>
      <c r="AW112" s="326">
        <f t="shared" si="13"/>
        <v>0</v>
      </c>
      <c r="AX112" s="288">
        <f t="shared" si="14"/>
        <v>0</v>
      </c>
      <c r="AY112" s="327">
        <f t="shared" si="15"/>
        <v>0</v>
      </c>
      <c r="AZ112" s="288">
        <f t="shared" si="11"/>
        <v>0</v>
      </c>
      <c r="BA112" s="288"/>
    </row>
    <row r="113" spans="45:53" s="246" customFormat="1" ht="15" x14ac:dyDescent="0.2">
      <c r="AS113" s="288" t="str">
        <f t="shared" si="9"/>
        <v/>
      </c>
      <c r="AT113" s="326">
        <f t="shared" si="12"/>
        <v>0</v>
      </c>
      <c r="AU113" s="326"/>
      <c r="AV113" s="326">
        <f t="shared" si="10"/>
        <v>0</v>
      </c>
      <c r="AW113" s="326">
        <f t="shared" si="13"/>
        <v>0</v>
      </c>
      <c r="AX113" s="288">
        <f t="shared" si="14"/>
        <v>0</v>
      </c>
      <c r="AY113" s="327">
        <f t="shared" si="15"/>
        <v>0</v>
      </c>
      <c r="AZ113" s="288">
        <f t="shared" si="11"/>
        <v>0</v>
      </c>
      <c r="BA113" s="288"/>
    </row>
    <row r="114" spans="45:53" s="246" customFormat="1" ht="15" x14ac:dyDescent="0.2">
      <c r="AS114" s="288" t="str">
        <f t="shared" si="9"/>
        <v/>
      </c>
      <c r="AT114" s="326">
        <f t="shared" si="12"/>
        <v>0</v>
      </c>
      <c r="AU114" s="326"/>
      <c r="AV114" s="326">
        <f t="shared" si="10"/>
        <v>0</v>
      </c>
      <c r="AW114" s="326">
        <f t="shared" si="13"/>
        <v>0</v>
      </c>
      <c r="AX114" s="288">
        <f t="shared" si="14"/>
        <v>0</v>
      </c>
      <c r="AY114" s="327">
        <f t="shared" si="15"/>
        <v>0</v>
      </c>
      <c r="AZ114" s="288">
        <f t="shared" si="11"/>
        <v>0</v>
      </c>
      <c r="BA114" s="288"/>
    </row>
    <row r="115" spans="45:53" s="246" customFormat="1" ht="15" x14ac:dyDescent="0.2">
      <c r="BA115" s="288"/>
    </row>
    <row r="116" spans="45:53" s="246" customFormat="1" ht="15" x14ac:dyDescent="0.2">
      <c r="BA116" s="288"/>
    </row>
    <row r="117" spans="45:53" s="246" customFormat="1" ht="15" x14ac:dyDescent="0.2">
      <c r="BA117" s="288"/>
    </row>
    <row r="118" spans="45:53" s="246" customFormat="1" ht="15" x14ac:dyDescent="0.2">
      <c r="BA118" s="288"/>
    </row>
    <row r="119" spans="45:53" ht="15" x14ac:dyDescent="0.2">
      <c r="BA119" s="232"/>
    </row>
  </sheetData>
  <mergeCells count="68">
    <mergeCell ref="J37:N37"/>
    <mergeCell ref="O37:P37"/>
    <mergeCell ref="D38:G38"/>
    <mergeCell ref="R38:T38"/>
    <mergeCell ref="B23:E26"/>
    <mergeCell ref="F31:F34"/>
    <mergeCell ref="R33:V33"/>
    <mergeCell ref="B36:B38"/>
    <mergeCell ref="D36:F36"/>
    <mergeCell ref="H36:I36"/>
    <mergeCell ref="J36:N36"/>
    <mergeCell ref="O36:P36"/>
    <mergeCell ref="D37:F37"/>
    <mergeCell ref="H37:I37"/>
    <mergeCell ref="L17:M17"/>
    <mergeCell ref="T17:U17"/>
    <mergeCell ref="T18:U18"/>
    <mergeCell ref="T19:U19"/>
    <mergeCell ref="F21:F24"/>
    <mergeCell ref="Q21:Q25"/>
    <mergeCell ref="R21:S22"/>
    <mergeCell ref="U21:W22"/>
    <mergeCell ref="Q13:Q14"/>
    <mergeCell ref="T13:U13"/>
    <mergeCell ref="V13:W13"/>
    <mergeCell ref="B14:B18"/>
    <mergeCell ref="C14:C15"/>
    <mergeCell ref="D14:D15"/>
    <mergeCell ref="F14:F15"/>
    <mergeCell ref="G14:G15"/>
    <mergeCell ref="T14:U14"/>
    <mergeCell ref="V14:W14"/>
    <mergeCell ref="T15:U15"/>
    <mergeCell ref="C16:C17"/>
    <mergeCell ref="D16:D17"/>
    <mergeCell ref="F16:F17"/>
    <mergeCell ref="G16:G17"/>
    <mergeCell ref="T16:U16"/>
    <mergeCell ref="V10:W10"/>
    <mergeCell ref="Z10:AA10"/>
    <mergeCell ref="T11:U11"/>
    <mergeCell ref="V11:W11"/>
    <mergeCell ref="T12:U12"/>
    <mergeCell ref="V12:W12"/>
    <mergeCell ref="AE6:AE7"/>
    <mergeCell ref="B7:B11"/>
    <mergeCell ref="Q8:Q11"/>
    <mergeCell ref="T8:U8"/>
    <mergeCell ref="V8:W8"/>
    <mergeCell ref="C9:D9"/>
    <mergeCell ref="T9:U9"/>
    <mergeCell ref="V9:W9"/>
    <mergeCell ref="Z9:AA9"/>
    <mergeCell ref="T10:U10"/>
    <mergeCell ref="C6:D6"/>
    <mergeCell ref="I6:J6"/>
    <mergeCell ref="L6:M6"/>
    <mergeCell ref="T6:U6"/>
    <mergeCell ref="V6:W6"/>
    <mergeCell ref="AD6:AD7"/>
    <mergeCell ref="S2:T3"/>
    <mergeCell ref="Z2:AB3"/>
    <mergeCell ref="B4:D5"/>
    <mergeCell ref="F4:G5"/>
    <mergeCell ref="T4:U4"/>
    <mergeCell ref="V4:W4"/>
    <mergeCell ref="T5:U5"/>
    <mergeCell ref="V5:W5"/>
  </mergeCells>
  <phoneticPr fontId="49" type="noConversion"/>
  <dataValidations count="3">
    <dataValidation type="list" allowBlank="1" showInputMessage="1" sqref="K9">
      <formula1>$C$30:$G$30</formula1>
    </dataValidation>
    <dataValidation type="list" allowBlank="1" showInputMessage="1" sqref="K14">
      <formula1>$C$21:$G$21</formula1>
    </dataValidation>
    <dataValidation type="list" allowBlank="1" showInputMessage="1" sqref="K15">
      <formula1>$C$28:$G$28</formula1>
    </dataValidation>
  </dataValidations>
  <hyperlinks>
    <hyperlink ref="H38" r:id="rId1" location="Grantstructure"/>
  </hyperlinks>
  <pageMargins left="0.7" right="0.7" top="0.75" bottom="0.75" header="0.3" footer="0.3"/>
  <legacyDrawing r:id="rId2"/>
  <extLst>
    <ext xmlns:x14="http://schemas.microsoft.com/office/spreadsheetml/2009/9/main" uri="{CCE6A557-97BC-4b89-ADB6-D9C93CAAB3DF}">
      <x14:dataValidations xmlns:xm="http://schemas.microsoft.com/office/excel/2006/main" count="36">
        <x14:dataValidation type="list" allowBlank="1" showInputMessage="1">
          <x14:formula1>
            <xm:f>Parameters!$D$5:$H$5</xm:f>
          </x14:formula1>
          <xm:sqref>G7</xm:sqref>
        </x14:dataValidation>
        <x14:dataValidation type="list" allowBlank="1" showInputMessage="1">
          <x14:formula1>
            <xm:f>Parameters!$D$9:$H$9</xm:f>
          </x14:formula1>
          <xm:sqref>G10</xm:sqref>
        </x14:dataValidation>
        <x14:dataValidation type="list" allowBlank="1" showInputMessage="1">
          <x14:formula1>
            <xm:f>Parameters!$D$8:$H$8</xm:f>
          </x14:formula1>
          <xm:sqref>G8</xm:sqref>
        </x14:dataValidation>
        <x14:dataValidation type="list" allowBlank="1" showInputMessage="1">
          <x14:formula1>
            <xm:f>Parameters!$D$32:$H$32</xm:f>
          </x14:formula1>
          <xm:sqref>G18</xm:sqref>
        </x14:dataValidation>
        <x14:dataValidation type="list" allowBlank="1" showInputMessage="1">
          <x14:formula1>
            <xm:f>Parameters!$D$7:$H$7</xm:f>
          </x14:formula1>
          <xm:sqref>G9</xm:sqref>
        </x14:dataValidation>
        <x14:dataValidation type="list" allowBlank="1" showInputMessage="1">
          <x14:formula1>
            <xm:f>Parameters!$D$4:$H$4</xm:f>
          </x14:formula1>
          <xm:sqref>D7</xm:sqref>
        </x14:dataValidation>
        <x14:dataValidation type="list" allowBlank="1" showInputMessage="1">
          <x14:formula1>
            <xm:f>Parameters!$D$14:$H$14</xm:f>
          </x14:formula1>
          <xm:sqref>J17:K17</xm:sqref>
        </x14:dataValidation>
        <x14:dataValidation type="list" allowBlank="1" showInputMessage="1">
          <x14:formula1>
            <xm:f>Parameters!$D$17:$H$17</xm:f>
          </x14:formula1>
          <xm:sqref>J18:K18</xm:sqref>
        </x14:dataValidation>
        <x14:dataValidation type="list" allowBlank="1" showInputMessage="1">
          <x14:formula1>
            <xm:f>Parameters!$D$21:$H$21</xm:f>
          </x14:formula1>
          <xm:sqref>J16:K16</xm:sqref>
        </x14:dataValidation>
        <x14:dataValidation type="list" allowBlank="1" showInputMessage="1">
          <x14:formula1>
            <xm:f>Parameters!$D$18:$H$18</xm:f>
          </x14:formula1>
          <xm:sqref>J10</xm:sqref>
        </x14:dataValidation>
        <x14:dataValidation type="list" allowBlank="1" showInputMessage="1">
          <x14:formula1>
            <xm:f>Parameters!$E$23:$G$23</xm:f>
          </x14:formula1>
          <xm:sqref>K7</xm:sqref>
        </x14:dataValidation>
        <x14:dataValidation type="list" allowBlank="1" showInputMessage="1">
          <x14:formula1>
            <xm:f>Parameters!$D$23:$H$23</xm:f>
          </x14:formula1>
          <xm:sqref>J7</xm:sqref>
        </x14:dataValidation>
        <x14:dataValidation type="list" allowBlank="1" showInputMessage="1">
          <x14:formula1>
            <xm:f>Parameters!$E$16:$I$16</xm:f>
          </x14:formula1>
          <xm:sqref>K10</xm:sqref>
        </x14:dataValidation>
        <x14:dataValidation type="list" allowBlank="1" showInputMessage="1">
          <x14:formula1>
            <xm:f>Parameters!$D$16:$H$16</xm:f>
          </x14:formula1>
          <xm:sqref>J8</xm:sqref>
        </x14:dataValidation>
        <x14:dataValidation type="list" allowBlank="1" showInputMessage="1">
          <x14:formula1>
            <xm:f>Parameters!$D$36:$H$36</xm:f>
          </x14:formula1>
          <xm:sqref>M7</xm:sqref>
        </x14:dataValidation>
        <x14:dataValidation type="list" allowBlank="1" showInputMessage="1">
          <x14:formula1>
            <xm:f>Parameters!$D$37:$H$37</xm:f>
          </x14:formula1>
          <xm:sqref>M8</xm:sqref>
        </x14:dataValidation>
        <x14:dataValidation type="list" allowBlank="1" showInputMessage="1">
          <x14:formula1>
            <xm:f>Parameters!$D$38:$H$38</xm:f>
          </x14:formula1>
          <xm:sqref>M9</xm:sqref>
        </x14:dataValidation>
        <x14:dataValidation type="list" allowBlank="1" showInputMessage="1">
          <x14:formula1>
            <xm:f>Parameters!$D$39:$H$39</xm:f>
          </x14:formula1>
          <xm:sqref>M10</xm:sqref>
        </x14:dataValidation>
        <x14:dataValidation type="list" allowBlank="1" showInputMessage="1">
          <x14:formula1>
            <xm:f>Parameters!$D$40:$H$40</xm:f>
          </x14:formula1>
          <xm:sqref>M11</xm:sqref>
        </x14:dataValidation>
        <x14:dataValidation type="list" allowBlank="1" showInputMessage="1">
          <x14:formula1>
            <xm:f>Parameters!$D$41:$H$41</xm:f>
          </x14:formula1>
          <xm:sqref>M12</xm:sqref>
        </x14:dataValidation>
        <x14:dataValidation type="list" allowBlank="1" showInputMessage="1">
          <x14:formula1>
            <xm:f>Parameters!$D$42:$H$42</xm:f>
          </x14:formula1>
          <xm:sqref>M13</xm:sqref>
        </x14:dataValidation>
        <x14:dataValidation type="list" allowBlank="1" showInputMessage="1">
          <x14:formula1>
            <xm:f>Parameters!$D$43:$H$43</xm:f>
          </x14:formula1>
          <xm:sqref>M14</xm:sqref>
        </x14:dataValidation>
        <x14:dataValidation type="list" allowBlank="1" showInputMessage="1">
          <x14:formula1>
            <xm:f>Parameters!$D$44:$H$44</xm:f>
          </x14:formula1>
          <xm:sqref>M15</xm:sqref>
        </x14:dataValidation>
        <x14:dataValidation type="list" allowBlank="1" showInputMessage="1">
          <x14:formula1>
            <xm:f>Parameters!$D$25:$H$25</xm:f>
          </x14:formula1>
          <xm:sqref>J9</xm:sqref>
        </x14:dataValidation>
        <x14:dataValidation type="list" allowBlank="1" showInputMessage="1">
          <x14:formula1>
            <xm:f>Parameters!$D$24:$H$24</xm:f>
          </x14:formula1>
          <xm:sqref>J11</xm:sqref>
        </x14:dataValidation>
        <x14:dataValidation type="list" allowBlank="1" showInputMessage="1">
          <x14:formula1>
            <xm:f>Parameters!$D$15:$H$15</xm:f>
          </x14:formula1>
          <xm:sqref>J15</xm:sqref>
        </x14:dataValidation>
        <x14:dataValidation type="list" allowBlank="1" showInputMessage="1">
          <x14:formula1>
            <xm:f>Parameters!$D$22:$H$22</xm:f>
          </x14:formula1>
          <xm:sqref>J14</xm:sqref>
        </x14:dataValidation>
        <x14:dataValidation type="list" allowBlank="1" showInputMessage="1">
          <x14:formula1>
            <xm:f>Parameters!$D$28:$H$28</xm:f>
          </x14:formula1>
          <xm:sqref>G16</xm:sqref>
        </x14:dataValidation>
        <x14:dataValidation type="list" allowBlank="1" showInputMessage="1">
          <x14:formula1>
            <xm:f>Parameters!$D$10:$H$10</xm:f>
          </x14:formula1>
          <xm:sqref>G14</xm:sqref>
        </x14:dataValidation>
        <x14:dataValidation type="list" allowBlank="1" showInputMessage="1">
          <x14:formula1>
            <xm:f>Parameters!$D$56:$H$56</xm:f>
          </x14:formula1>
          <xm:sqref>D14</xm:sqref>
        </x14:dataValidation>
        <x14:dataValidation type="list" allowBlank="1" showInputMessage="1">
          <x14:formula1>
            <xm:f>Parameters!$D$55:$H$55</xm:f>
          </x14:formula1>
          <xm:sqref>D11</xm:sqref>
        </x14:dataValidation>
        <x14:dataValidation type="list" allowBlank="1" showInputMessage="1">
          <x14:formula1>
            <xm:f>Parameters!$D$54:$H$54</xm:f>
          </x14:formula1>
          <xm:sqref>D10</xm:sqref>
        </x14:dataValidation>
        <x14:dataValidation type="list" allowBlank="1" showInputMessage="1">
          <x14:formula1>
            <xm:f>Parameters!$D$57:$H$57</xm:f>
          </x14:formula1>
          <xm:sqref>D16:D17</xm:sqref>
        </x14:dataValidation>
        <x14:dataValidation type="list" allowBlank="1" showInputMessage="1">
          <x14:formula1>
            <xm:f>Parameters!$D$33:$H$33</xm:f>
          </x14:formula1>
          <xm:sqref>G11</xm:sqref>
        </x14:dataValidation>
        <x14:dataValidation type="list" allowBlank="1" showInputMessage="1">
          <x14:formula1>
            <xm:f>Parameters!$D$6:$H$6</xm:f>
          </x14:formula1>
          <xm:sqref>G13</xm:sqref>
        </x14:dataValidation>
        <x14:dataValidation type="list" allowBlank="1" showInputMessage="1">
          <x14:formula1>
            <xm:f>Parameters!$D$51:$H$51</xm:f>
          </x14:formula1>
          <xm:sqref>M18</xm:sqref>
        </x14:dataValidation>
      </x14:dataValidations>
    </ext>
  </extLs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B119"/>
  <sheetViews>
    <sheetView workbookViewId="0"/>
  </sheetViews>
  <sheetFormatPr baseColWidth="10" defaultColWidth="8.83203125" defaultRowHeight="11" x14ac:dyDescent="0.15"/>
  <cols>
    <col min="1" max="1" width="1.5" style="233" customWidth="1"/>
    <col min="2" max="2" width="9.5" style="233" customWidth="1"/>
    <col min="3" max="3" width="14.5" style="233" customWidth="1"/>
    <col min="4" max="4" width="5.83203125" style="233" customWidth="1"/>
    <col min="5" max="5" width="1.83203125" style="233" customWidth="1"/>
    <col min="6" max="6" width="21.5" style="233" customWidth="1"/>
    <col min="7" max="7" width="13.5" style="233" customWidth="1"/>
    <col min="8" max="8" width="1.5" style="233" customWidth="1"/>
    <col min="9" max="9" width="16.5" style="233" customWidth="1"/>
    <col min="10" max="10" width="8.5" style="233" customWidth="1"/>
    <col min="11" max="11" width="1.5" style="233" customWidth="1"/>
    <col min="12" max="12" width="22.83203125" style="233" customWidth="1"/>
    <col min="13" max="13" width="8.5" style="233" customWidth="1"/>
    <col min="14" max="14" width="0.83203125" style="233" customWidth="1"/>
    <col min="15" max="15" width="2.83203125" style="233" customWidth="1"/>
    <col min="16" max="16" width="2.5" style="233" customWidth="1"/>
    <col min="17" max="17" width="15.5" style="233" customWidth="1"/>
    <col min="18" max="18" width="30.83203125" style="233" customWidth="1"/>
    <col min="19" max="19" width="23.5" style="233" customWidth="1"/>
    <col min="20" max="20" width="1" style="233" customWidth="1"/>
    <col min="21" max="21" width="24.5" style="233" customWidth="1"/>
    <col min="22" max="23" width="12.5" style="233" customWidth="1"/>
    <col min="24" max="24" width="12.5" style="246" customWidth="1"/>
    <col min="25" max="25" width="13.5" style="233" customWidth="1"/>
    <col min="26" max="26" width="14.1640625" style="233" customWidth="1"/>
    <col min="27" max="28" width="11.5" style="233" customWidth="1"/>
    <col min="29" max="29" width="2.5" style="233" customWidth="1"/>
    <col min="30" max="30" width="28.5" style="233" customWidth="1"/>
    <col min="31" max="31" width="14.5" style="233" bestFit="1" customWidth="1"/>
    <col min="32" max="16384" width="8.83203125" style="233"/>
  </cols>
  <sheetData>
    <row r="1" spans="1:54" ht="6" customHeight="1" thickBot="1" x14ac:dyDescent="0.35">
      <c r="A1" s="274"/>
      <c r="B1" s="246"/>
      <c r="C1" s="246"/>
      <c r="D1" s="246"/>
      <c r="E1" s="246"/>
      <c r="F1" s="246"/>
      <c r="G1" s="246"/>
      <c r="H1" s="246"/>
      <c r="I1" s="246"/>
      <c r="J1" s="246"/>
      <c r="K1" s="246"/>
      <c r="L1" s="246"/>
      <c r="M1" s="246"/>
      <c r="N1" s="246"/>
      <c r="O1" s="246"/>
      <c r="P1" s="246"/>
      <c r="Q1" s="246"/>
      <c r="R1" s="254"/>
      <c r="S1" s="246"/>
      <c r="T1" s="246"/>
      <c r="U1" s="246"/>
      <c r="V1" s="246"/>
      <c r="W1" s="246"/>
      <c r="Y1" s="246"/>
      <c r="Z1" s="246"/>
      <c r="AA1" s="246"/>
      <c r="AB1" s="246"/>
      <c r="AC1" s="246"/>
      <c r="AD1" s="246"/>
      <c r="AE1" s="246"/>
      <c r="AF1" s="246"/>
      <c r="AG1" s="246"/>
      <c r="AH1" s="246"/>
      <c r="AI1" s="246"/>
      <c r="AJ1" s="246"/>
      <c r="AK1" s="246"/>
      <c r="AL1" s="246"/>
      <c r="AM1" s="246"/>
      <c r="AN1" s="246"/>
      <c r="AO1" s="246"/>
      <c r="AP1" s="246"/>
      <c r="AQ1" s="246"/>
    </row>
    <row r="2" spans="1:54" ht="15" customHeight="1" x14ac:dyDescent="0.25">
      <c r="A2" s="246"/>
      <c r="B2" s="246"/>
      <c r="C2" s="334"/>
      <c r="D2" s="249"/>
      <c r="E2" s="249"/>
      <c r="F2" s="246"/>
      <c r="G2" s="246"/>
      <c r="H2" s="246"/>
      <c r="I2" s="246"/>
      <c r="J2" s="246"/>
      <c r="K2" s="274"/>
      <c r="L2" s="386"/>
      <c r="M2" s="274"/>
      <c r="N2" s="246"/>
      <c r="O2" s="246"/>
      <c r="P2" s="246"/>
      <c r="Q2" s="246"/>
      <c r="S2" s="553" t="s">
        <v>409</v>
      </c>
      <c r="T2" s="554"/>
      <c r="U2" s="333"/>
      <c r="V2" s="333"/>
      <c r="W2" s="333"/>
      <c r="X2" s="333"/>
      <c r="Y2" s="246"/>
      <c r="Z2" s="557" t="s">
        <v>290</v>
      </c>
      <c r="AA2" s="558"/>
      <c r="AB2" s="559"/>
      <c r="AC2" s="246"/>
      <c r="AD2" s="246"/>
      <c r="AE2" s="246"/>
      <c r="AF2" s="246"/>
      <c r="AG2" s="246"/>
      <c r="AH2" s="246"/>
      <c r="AI2" s="246"/>
      <c r="AJ2" s="246"/>
      <c r="AK2" s="246"/>
      <c r="AL2" s="246"/>
      <c r="AM2" s="246"/>
      <c r="AN2" s="246"/>
      <c r="AO2" s="246"/>
      <c r="AP2" s="246"/>
      <c r="AQ2" s="246"/>
      <c r="AS2" s="232" t="s">
        <v>477</v>
      </c>
      <c r="AT2" s="232" t="s">
        <v>478</v>
      </c>
      <c r="AU2" s="232" t="s">
        <v>479</v>
      </c>
      <c r="AV2" s="232" t="s">
        <v>480</v>
      </c>
      <c r="AW2" s="232" t="s">
        <v>481</v>
      </c>
      <c r="AX2" s="232" t="s">
        <v>482</v>
      </c>
      <c r="AY2" s="232" t="s">
        <v>483</v>
      </c>
      <c r="AZ2" s="232" t="s">
        <v>432</v>
      </c>
      <c r="BA2" s="232" t="s">
        <v>485</v>
      </c>
    </row>
    <row r="3" spans="1:54" ht="19.5" customHeight="1" thickBot="1" x14ac:dyDescent="0.3">
      <c r="A3" s="246"/>
      <c r="B3" s="334"/>
      <c r="C3" s="334"/>
      <c r="D3" s="249"/>
      <c r="E3" s="249"/>
      <c r="F3" s="246"/>
      <c r="G3" s="246"/>
      <c r="H3" s="246"/>
      <c r="I3" s="246"/>
      <c r="J3" s="246"/>
      <c r="K3" s="274"/>
      <c r="L3" s="274"/>
      <c r="M3" s="274"/>
      <c r="N3" s="246"/>
      <c r="O3" s="246"/>
      <c r="P3" s="246"/>
      <c r="Q3" s="246"/>
      <c r="R3" s="333"/>
      <c r="S3" s="555"/>
      <c r="T3" s="556"/>
      <c r="U3" s="333"/>
      <c r="V3" s="333"/>
      <c r="W3" s="333"/>
      <c r="X3" s="333"/>
      <c r="Y3" s="246"/>
      <c r="Z3" s="560"/>
      <c r="AA3" s="561"/>
      <c r="AB3" s="562"/>
      <c r="AC3" s="246"/>
      <c r="AD3" s="246"/>
      <c r="AE3" s="246"/>
      <c r="AF3" s="246"/>
      <c r="AG3" s="246"/>
      <c r="AH3" s="246"/>
      <c r="AI3" s="246"/>
      <c r="AJ3" s="246"/>
      <c r="AK3" s="246"/>
      <c r="AL3" s="246"/>
      <c r="AM3" s="246"/>
      <c r="AN3" s="246"/>
      <c r="AO3" s="246"/>
      <c r="AP3" s="246"/>
      <c r="AQ3" s="246"/>
      <c r="AS3" s="232"/>
      <c r="AT3" s="232"/>
      <c r="AU3" s="232"/>
      <c r="AV3" s="232"/>
      <c r="AW3" s="232"/>
      <c r="AX3" s="232"/>
      <c r="AY3" s="232"/>
      <c r="AZ3" s="232"/>
      <c r="BA3" s="232"/>
    </row>
    <row r="4" spans="1:54" ht="40.75" customHeight="1" x14ac:dyDescent="0.2">
      <c r="A4" s="246"/>
      <c r="B4" s="563" t="s">
        <v>365</v>
      </c>
      <c r="C4" s="563"/>
      <c r="D4" s="563"/>
      <c r="E4" s="336"/>
      <c r="F4" s="565" t="s">
        <v>408</v>
      </c>
      <c r="G4" s="566"/>
      <c r="H4" s="249"/>
      <c r="I4" s="246"/>
      <c r="J4" s="246"/>
      <c r="K4" s="246"/>
      <c r="L4" s="246"/>
      <c r="M4" s="246"/>
      <c r="N4" s="277"/>
      <c r="O4" s="277"/>
      <c r="P4" s="277"/>
      <c r="Q4" s="332"/>
      <c r="R4" s="457" t="s">
        <v>393</v>
      </c>
      <c r="S4" s="457" t="s">
        <v>245</v>
      </c>
      <c r="T4" s="569" t="s">
        <v>244</v>
      </c>
      <c r="U4" s="569"/>
      <c r="V4" s="569" t="s">
        <v>395</v>
      </c>
      <c r="W4" s="570"/>
      <c r="X4" s="238"/>
      <c r="Y4" s="246"/>
      <c r="Z4" s="369" t="s">
        <v>291</v>
      </c>
      <c r="AA4" s="370"/>
      <c r="AB4" s="371"/>
      <c r="AC4" s="242"/>
      <c r="AD4" s="372" t="s">
        <v>292</v>
      </c>
      <c r="AE4" s="373"/>
      <c r="AF4" s="246"/>
      <c r="AG4" s="246"/>
      <c r="AH4" s="246"/>
      <c r="AI4" s="246"/>
      <c r="AJ4" s="246"/>
      <c r="AK4" s="246"/>
      <c r="AL4" s="246"/>
      <c r="AM4" s="246"/>
      <c r="AN4" s="246"/>
      <c r="AO4" s="246"/>
      <c r="AP4" s="246"/>
      <c r="AQ4" s="246"/>
      <c r="AS4" s="232">
        <v>0</v>
      </c>
      <c r="AT4" s="278">
        <f>Q37</f>
        <v>212.7659574468085</v>
      </c>
      <c r="AU4" s="278">
        <f>(1-$D$11)*AT4</f>
        <v>106.38297872340425</v>
      </c>
      <c r="AV4" s="278"/>
      <c r="AW4" s="232"/>
      <c r="AX4" s="232">
        <f>IF(ISNUMBER(AS5),SUM(AU4:AV4),SUM(AU4:AW4))</f>
        <v>106.38297872340425</v>
      </c>
      <c r="AY4" s="279">
        <f t="shared" ref="AY4:AY30" si="0">LN(AX4+$J$37)-LN($J$37)</f>
        <v>0.31632022465180309</v>
      </c>
      <c r="AZ4" s="232">
        <f>IF(ISNUMBER(AS4),AY4/(1+$D$7)^AS4,0)</f>
        <v>0.31632022465180309</v>
      </c>
      <c r="BA4" s="232"/>
    </row>
    <row r="5" spans="1:54" ht="10.75" customHeight="1" thickBot="1" x14ac:dyDescent="0.25">
      <c r="A5" s="246"/>
      <c r="B5" s="564"/>
      <c r="C5" s="564"/>
      <c r="D5" s="564"/>
      <c r="E5" s="335"/>
      <c r="F5" s="567"/>
      <c r="G5" s="568"/>
      <c r="H5" s="256"/>
      <c r="I5" s="256"/>
      <c r="J5" s="246"/>
      <c r="K5" s="246"/>
      <c r="L5" s="246"/>
      <c r="M5" s="246"/>
      <c r="N5" s="246"/>
      <c r="O5" s="246"/>
      <c r="P5" s="246"/>
      <c r="Q5" s="459" t="s">
        <v>411</v>
      </c>
      <c r="R5" s="458">
        <f>D37/(1+D7)^10</f>
        <v>0.16514266520246426</v>
      </c>
      <c r="S5" s="458">
        <f>R5*(1-1/(1+D7)^G16)/(1-1/(1+D7))</f>
        <v>2.4438871472950385</v>
      </c>
      <c r="T5" s="582">
        <f>S5*G11*G7*G9*G18*G8/G37</f>
        <v>7.591152423070191E-2</v>
      </c>
      <c r="U5" s="582"/>
      <c r="V5" s="572">
        <f>$G$14*$G$10</f>
        <v>5.2824539999999998E-3</v>
      </c>
      <c r="W5" s="573"/>
      <c r="X5" s="238"/>
      <c r="Y5" s="246"/>
      <c r="Z5" s="357" t="s">
        <v>121</v>
      </c>
      <c r="AA5" s="358"/>
      <c r="AB5" s="359"/>
      <c r="AC5" s="247"/>
      <c r="AD5" s="238"/>
      <c r="AE5" s="244"/>
      <c r="AF5" s="246"/>
      <c r="AG5" s="246"/>
      <c r="AH5" s="246"/>
      <c r="AI5" s="246"/>
      <c r="AJ5" s="246"/>
      <c r="AK5" s="246"/>
      <c r="AL5" s="246"/>
      <c r="AM5" s="246"/>
      <c r="AN5" s="246"/>
      <c r="AO5" s="246"/>
      <c r="AP5" s="246"/>
      <c r="AQ5" s="246"/>
      <c r="AS5" s="232">
        <f t="shared" ref="AS5:AS68" si="1">IF(AS4&lt;$D$14,AS4+1,"")</f>
        <v>1</v>
      </c>
      <c r="AT5" s="278">
        <f>AT4-AU4</f>
        <v>106.38297872340425</v>
      </c>
      <c r="AU5" s="278"/>
      <c r="AV5" s="278">
        <f t="shared" ref="AV5:AV71" si="2">$D$10*AT5</f>
        <v>10.638297872340425</v>
      </c>
      <c r="AW5" s="278">
        <f>AT5</f>
        <v>106.38297872340425</v>
      </c>
      <c r="AX5" s="232">
        <f t="shared" ref="AX5:AX14" si="3">IF(ISNUMBER(AS6),SUM(AU5:AV5),SUM(AU5:AW5))</f>
        <v>10.638297872340425</v>
      </c>
      <c r="AY5" s="279">
        <f t="shared" si="0"/>
        <v>3.6531480770634062E-2</v>
      </c>
      <c r="AZ5" s="232">
        <f t="shared" ref="AZ5:AZ71" si="4">IF(ISNUMBER(AS5),AY5/(1+$D$7)^AS5,0)</f>
        <v>3.4791886448222911E-2</v>
      </c>
      <c r="BA5" s="232">
        <f>SUM(AZ5:AZ114)</f>
        <v>0.57079657625925373</v>
      </c>
      <c r="BB5" s="233">
        <f>SUM(AZ5:AZ23)</f>
        <v>0.44149466659186715</v>
      </c>
    </row>
    <row r="6" spans="1:54" ht="15" customHeight="1" x14ac:dyDescent="0.2">
      <c r="A6" s="246"/>
      <c r="B6" s="242"/>
      <c r="C6" s="587" t="s">
        <v>540</v>
      </c>
      <c r="D6" s="587"/>
      <c r="E6" s="271"/>
      <c r="F6" s="350" t="s">
        <v>541</v>
      </c>
      <c r="G6" s="351"/>
      <c r="H6" s="272"/>
      <c r="I6" s="587" t="s">
        <v>567</v>
      </c>
      <c r="J6" s="587"/>
      <c r="K6" s="272"/>
      <c r="L6" s="588" t="s">
        <v>390</v>
      </c>
      <c r="M6" s="588"/>
      <c r="N6" s="243"/>
      <c r="O6" s="238"/>
      <c r="P6" s="246"/>
      <c r="Q6" s="459" t="s">
        <v>412</v>
      </c>
      <c r="R6" s="458">
        <f>(M15*M11)/(1+D7)^10</f>
        <v>1.65756578456005E-2</v>
      </c>
      <c r="S6" s="458">
        <f>R6*(1-1/(1+D7)^G16)/(1-1/(1+D7))</f>
        <v>0.24529722296269896</v>
      </c>
      <c r="T6" s="582">
        <f>S6*M8*M9*M14*(W37/V37)*G11</f>
        <v>3.4733563470775858E-3</v>
      </c>
      <c r="U6" s="582"/>
      <c r="V6" s="572">
        <v>0</v>
      </c>
      <c r="W6" s="589"/>
      <c r="X6" s="238"/>
      <c r="Y6" s="246"/>
      <c r="Z6" s="360" t="s">
        <v>570</v>
      </c>
      <c r="AA6" s="361"/>
      <c r="AB6" s="362">
        <f>$G$7*$G$8*$G$9*G$18*$J7</f>
        <v>1.7258385714285712E-2</v>
      </c>
      <c r="AC6" s="247"/>
      <c r="AD6" s="590" t="s">
        <v>123</v>
      </c>
      <c r="AE6" s="574">
        <f>G10</f>
        <v>3</v>
      </c>
      <c r="AF6" s="246"/>
      <c r="AG6" s="246"/>
      <c r="AH6" s="246"/>
      <c r="AI6" s="246"/>
      <c r="AJ6" s="246"/>
      <c r="AK6" s="246"/>
      <c r="AL6" s="246"/>
      <c r="AM6" s="246"/>
      <c r="AN6" s="246"/>
      <c r="AO6" s="246"/>
      <c r="AP6" s="246"/>
      <c r="AQ6" s="246"/>
      <c r="AS6" s="232">
        <f t="shared" si="1"/>
        <v>2</v>
      </c>
      <c r="AT6" s="278">
        <f t="shared" ref="AT6:AT72" si="5">IF(ISNUMBER(AS6),AW5,0)</f>
        <v>106.38297872340425</v>
      </c>
      <c r="AU6" s="278"/>
      <c r="AV6" s="278">
        <f t="shared" si="2"/>
        <v>10.638297872340425</v>
      </c>
      <c r="AW6" s="278">
        <f t="shared" ref="AW6:AW72" si="6">AT6</f>
        <v>106.38297872340425</v>
      </c>
      <c r="AX6" s="232">
        <f t="shared" si="3"/>
        <v>10.638297872340425</v>
      </c>
      <c r="AY6" s="279">
        <f t="shared" si="0"/>
        <v>3.6531480770634062E-2</v>
      </c>
      <c r="AZ6" s="232">
        <f t="shared" si="4"/>
        <v>3.3135129950688492E-2</v>
      </c>
      <c r="BA6" s="232"/>
    </row>
    <row r="7" spans="1:54" ht="20.5" customHeight="1" x14ac:dyDescent="0.2">
      <c r="A7" s="246"/>
      <c r="B7" s="576" t="s">
        <v>573</v>
      </c>
      <c r="C7" s="301" t="s">
        <v>528</v>
      </c>
      <c r="D7" s="139">
        <v>0.05</v>
      </c>
      <c r="E7" s="234"/>
      <c r="F7" s="321" t="s">
        <v>532</v>
      </c>
      <c r="G7" s="338">
        <f>AVERAGE(0.37/(0.52+0.08),(0.37/(1-0.37))/((0.52+0.08)/(1-(0.52+0.08))))</f>
        <v>0.50410052910052916</v>
      </c>
      <c r="H7" s="236"/>
      <c r="I7" s="321" t="s">
        <v>536</v>
      </c>
      <c r="J7" s="381">
        <v>0.25359999999999999</v>
      </c>
      <c r="K7" s="314"/>
      <c r="L7" s="321" t="s">
        <v>397</v>
      </c>
      <c r="M7" s="324">
        <v>7.4999999999999997E-2</v>
      </c>
      <c r="N7" s="244"/>
      <c r="O7" s="238"/>
      <c r="P7" s="246"/>
      <c r="Q7" s="247"/>
      <c r="R7" s="238"/>
      <c r="S7" s="238"/>
      <c r="T7" s="238"/>
      <c r="U7" s="318"/>
      <c r="V7" s="238"/>
      <c r="W7" s="244"/>
      <c r="X7" s="238"/>
      <c r="Y7" s="246"/>
      <c r="Z7" s="360" t="s">
        <v>560</v>
      </c>
      <c r="AA7" s="361"/>
      <c r="AB7" s="362">
        <f>$G$7*$G$8*$G$9*G$18*$J8</f>
        <v>1.2636958981057093E-2</v>
      </c>
      <c r="AC7" s="247"/>
      <c r="AD7" s="591"/>
      <c r="AE7" s="575"/>
      <c r="AF7" s="246"/>
      <c r="AG7" s="246"/>
      <c r="AH7" s="246"/>
      <c r="AI7" s="246"/>
      <c r="AJ7" s="246"/>
      <c r="AK7" s="246"/>
      <c r="AL7" s="246"/>
      <c r="AM7" s="246"/>
      <c r="AN7" s="246"/>
      <c r="AO7" s="246"/>
      <c r="AP7" s="246"/>
      <c r="AQ7" s="246"/>
      <c r="AS7" s="232">
        <f t="shared" si="1"/>
        <v>3</v>
      </c>
      <c r="AT7" s="278">
        <f>IF(ISNUMBER(AS7),AW6,0)</f>
        <v>106.38297872340425</v>
      </c>
      <c r="AU7" s="278"/>
      <c r="AV7" s="278">
        <f t="shared" si="2"/>
        <v>10.638297872340425</v>
      </c>
      <c r="AW7" s="278">
        <f t="shared" si="6"/>
        <v>106.38297872340425</v>
      </c>
      <c r="AX7" s="232">
        <f t="shared" si="3"/>
        <v>10.638297872340425</v>
      </c>
      <c r="AY7" s="279">
        <f t="shared" si="0"/>
        <v>3.6531480770634062E-2</v>
      </c>
      <c r="AZ7" s="232">
        <f t="shared" si="4"/>
        <v>3.1557266619703324E-2</v>
      </c>
      <c r="BA7" s="232"/>
    </row>
    <row r="8" spans="1:54" ht="25" customHeight="1" thickBot="1" x14ac:dyDescent="0.25">
      <c r="A8" s="246"/>
      <c r="B8" s="576"/>
      <c r="C8" s="294"/>
      <c r="D8" s="294"/>
      <c r="E8" s="273"/>
      <c r="F8" s="323" t="s">
        <v>534</v>
      </c>
      <c r="G8" s="245">
        <v>0.6</v>
      </c>
      <c r="H8" s="237"/>
      <c r="I8" s="312" t="s">
        <v>537</v>
      </c>
      <c r="J8" s="379">
        <v>0.18569134162665896</v>
      </c>
      <c r="K8" s="315"/>
      <c r="L8" s="312" t="s">
        <v>391</v>
      </c>
      <c r="M8" s="313">
        <v>0.8</v>
      </c>
      <c r="N8" s="244"/>
      <c r="O8" s="238"/>
      <c r="P8" s="246"/>
      <c r="Q8" s="577" t="s">
        <v>413</v>
      </c>
      <c r="R8" s="238"/>
      <c r="S8" s="460" t="s">
        <v>246</v>
      </c>
      <c r="T8" s="578" t="s">
        <v>562</v>
      </c>
      <c r="U8" s="578"/>
      <c r="V8" s="578" t="s">
        <v>446</v>
      </c>
      <c r="W8" s="662"/>
      <c r="X8" s="238"/>
      <c r="Y8" s="246"/>
      <c r="Z8" s="360" t="s">
        <v>566</v>
      </c>
      <c r="AA8" s="361"/>
      <c r="AB8" s="362">
        <f>$G$7*$G$8*$G$9*G$18/M18</f>
        <v>6.8053571428571422E-2</v>
      </c>
      <c r="AC8" s="374"/>
      <c r="AD8" s="375" t="s">
        <v>124</v>
      </c>
      <c r="AE8" s="376">
        <f>(AE6*U37)/S5</f>
        <v>44.836358389658308</v>
      </c>
      <c r="AF8" s="246"/>
      <c r="AG8" s="246"/>
      <c r="AH8" s="246"/>
      <c r="AI8" s="246"/>
      <c r="AJ8" s="246"/>
      <c r="AK8" s="246"/>
      <c r="AL8" s="246"/>
      <c r="AM8" s="246"/>
      <c r="AN8" s="246"/>
      <c r="AO8" s="246"/>
      <c r="AP8" s="246"/>
      <c r="AQ8" s="246"/>
      <c r="AS8" s="232">
        <f t="shared" si="1"/>
        <v>4</v>
      </c>
      <c r="AT8" s="278">
        <f t="shared" si="5"/>
        <v>106.38297872340425</v>
      </c>
      <c r="AU8" s="278"/>
      <c r="AV8" s="278">
        <f t="shared" si="2"/>
        <v>10.638297872340425</v>
      </c>
      <c r="AW8" s="278">
        <f t="shared" si="6"/>
        <v>106.38297872340425</v>
      </c>
      <c r="AX8" s="232">
        <f t="shared" si="3"/>
        <v>10.638297872340425</v>
      </c>
      <c r="AY8" s="279">
        <f t="shared" si="0"/>
        <v>3.6531480770634062E-2</v>
      </c>
      <c r="AZ8" s="232">
        <f t="shared" si="4"/>
        <v>3.005453963781269E-2</v>
      </c>
      <c r="BA8" s="232"/>
    </row>
    <row r="9" spans="1:54" ht="33" x14ac:dyDescent="0.2">
      <c r="A9" s="246"/>
      <c r="B9" s="576"/>
      <c r="C9" s="581" t="s">
        <v>542</v>
      </c>
      <c r="D9" s="581"/>
      <c r="E9" s="234"/>
      <c r="F9" s="312" t="s">
        <v>440</v>
      </c>
      <c r="G9" s="313">
        <v>0.75</v>
      </c>
      <c r="H9" s="237"/>
      <c r="I9" s="312" t="s">
        <v>386</v>
      </c>
      <c r="J9" s="379">
        <v>1.07</v>
      </c>
      <c r="K9" s="315"/>
      <c r="L9" s="312" t="s">
        <v>392</v>
      </c>
      <c r="M9" s="313">
        <v>0.7</v>
      </c>
      <c r="N9" s="244"/>
      <c r="O9" s="238"/>
      <c r="P9" s="246"/>
      <c r="Q9" s="577"/>
      <c r="R9" s="253" t="s">
        <v>572</v>
      </c>
      <c r="S9" s="468">
        <f>J11*($T$5*AB13*J14*J7+$V$5*(J7*$G$13))</f>
        <v>1.7763642803101866E-2</v>
      </c>
      <c r="T9" s="582">
        <f>S9/(J16/J9)</f>
        <v>3.7268819214350976E-2</v>
      </c>
      <c r="U9" s="582"/>
      <c r="V9" s="663">
        <f>($G$10*$U$37)/T9</f>
        <v>2940.1253463325811</v>
      </c>
      <c r="W9" s="664"/>
      <c r="X9" s="238"/>
      <c r="Y9" s="387"/>
      <c r="Z9" s="585" t="s">
        <v>288</v>
      </c>
      <c r="AA9" s="586"/>
      <c r="AB9" s="411">
        <v>0.05</v>
      </c>
      <c r="AC9" s="246"/>
      <c r="AD9" s="246"/>
      <c r="AE9" s="388"/>
      <c r="AF9" s="246"/>
      <c r="AG9" s="246"/>
      <c r="AH9" s="246"/>
      <c r="AI9" s="246"/>
      <c r="AJ9" s="246"/>
      <c r="AK9" s="246"/>
      <c r="AL9" s="246"/>
      <c r="AM9" s="246"/>
      <c r="AN9" s="246"/>
      <c r="AO9" s="246"/>
      <c r="AP9" s="246"/>
      <c r="AQ9" s="246"/>
      <c r="AS9" s="232">
        <f t="shared" si="1"/>
        <v>5</v>
      </c>
      <c r="AT9" s="278">
        <f t="shared" si="5"/>
        <v>106.38297872340425</v>
      </c>
      <c r="AU9" s="278"/>
      <c r="AV9" s="278">
        <f t="shared" si="2"/>
        <v>10.638297872340425</v>
      </c>
      <c r="AW9" s="278">
        <f t="shared" si="6"/>
        <v>106.38297872340425</v>
      </c>
      <c r="AX9" s="232">
        <f>IF(ISNUMBER(AS10),SUM(AU9:AV9),SUM(AU9:AW9))</f>
        <v>10.638297872340425</v>
      </c>
      <c r="AY9" s="279">
        <f t="shared" si="0"/>
        <v>3.6531480770634062E-2</v>
      </c>
      <c r="AZ9" s="232">
        <f t="shared" si="4"/>
        <v>2.8623371083631131E-2</v>
      </c>
      <c r="BA9" s="232"/>
    </row>
    <row r="10" spans="1:54" ht="39.75" customHeight="1" x14ac:dyDescent="0.2">
      <c r="A10" s="246"/>
      <c r="B10" s="576"/>
      <c r="C10" s="291" t="s">
        <v>531</v>
      </c>
      <c r="D10" s="292">
        <v>0.1</v>
      </c>
      <c r="E10" s="284"/>
      <c r="F10" s="312" t="s">
        <v>231</v>
      </c>
      <c r="G10" s="503">
        <v>3</v>
      </c>
      <c r="H10" s="285"/>
      <c r="I10" s="312" t="s">
        <v>387</v>
      </c>
      <c r="J10" s="379">
        <v>1</v>
      </c>
      <c r="K10" s="315"/>
      <c r="L10" s="312" t="s">
        <v>406</v>
      </c>
      <c r="M10" s="313">
        <v>1</v>
      </c>
      <c r="N10" s="244"/>
      <c r="O10" s="238"/>
      <c r="P10" s="246"/>
      <c r="Q10" s="577"/>
      <c r="R10" s="253" t="s">
        <v>14</v>
      </c>
      <c r="S10" s="468">
        <f>J18*($T$5*AB14*J15*J8+$V$5*(J8*$G$13))</f>
        <v>1.394350780310734E-2</v>
      </c>
      <c r="T10" s="582">
        <f>S10/(J17/J10)</f>
        <v>2.634827627193375E-2</v>
      </c>
      <c r="U10" s="582"/>
      <c r="V10" s="663">
        <f>($G$10*$U$37)/T10</f>
        <v>4158.7160719397643</v>
      </c>
      <c r="W10" s="664"/>
      <c r="X10" s="238"/>
      <c r="Y10" s="246"/>
      <c r="Z10" s="592" t="s">
        <v>289</v>
      </c>
      <c r="AA10" s="593"/>
      <c r="AB10" s="377" t="s">
        <v>287</v>
      </c>
      <c r="AC10" s="246"/>
      <c r="AD10" s="387"/>
      <c r="AE10" s="388"/>
      <c r="AF10" s="246"/>
      <c r="AG10" s="246"/>
      <c r="AH10" s="246"/>
      <c r="AI10" s="246"/>
      <c r="AJ10" s="246"/>
      <c r="AK10" s="246"/>
      <c r="AL10" s="246"/>
      <c r="AM10" s="246"/>
      <c r="AN10" s="246"/>
      <c r="AO10" s="246"/>
      <c r="AP10" s="246"/>
      <c r="AQ10" s="246"/>
      <c r="AS10" s="232">
        <f t="shared" si="1"/>
        <v>6</v>
      </c>
      <c r="AT10" s="278">
        <f>IF(ISNUMBER(AS10),AW9,0)</f>
        <v>106.38297872340425</v>
      </c>
      <c r="AU10" s="278"/>
      <c r="AV10" s="278">
        <f t="shared" si="2"/>
        <v>10.638297872340425</v>
      </c>
      <c r="AW10" s="278">
        <f t="shared" si="6"/>
        <v>106.38297872340425</v>
      </c>
      <c r="AX10" s="232">
        <f>IF(ISNUMBER(AS11),SUM(AU10:AV10),SUM(AU10:AW10))</f>
        <v>10.638297872340425</v>
      </c>
      <c r="AY10" s="279">
        <f t="shared" si="0"/>
        <v>3.6531480770634062E-2</v>
      </c>
      <c r="AZ10" s="232">
        <f t="shared" si="4"/>
        <v>2.7260353412982032E-2</v>
      </c>
      <c r="BA10" s="232"/>
    </row>
    <row r="11" spans="1:54" ht="33" customHeight="1" x14ac:dyDescent="0.2">
      <c r="A11" s="246"/>
      <c r="B11" s="576"/>
      <c r="C11" s="298" t="s">
        <v>533</v>
      </c>
      <c r="D11" s="299">
        <v>0.5</v>
      </c>
      <c r="E11" s="235"/>
      <c r="F11" s="312" t="s">
        <v>241</v>
      </c>
      <c r="G11" s="503">
        <v>1.1000000000000001</v>
      </c>
      <c r="H11" s="238"/>
      <c r="I11" s="312" t="s">
        <v>230</v>
      </c>
      <c r="J11" s="379">
        <v>0.81</v>
      </c>
      <c r="K11" s="315"/>
      <c r="L11" s="312" t="s">
        <v>405</v>
      </c>
      <c r="M11" s="313">
        <v>1</v>
      </c>
      <c r="N11" s="244"/>
      <c r="O11" s="246"/>
      <c r="P11" s="246"/>
      <c r="Q11" s="577"/>
      <c r="R11" s="253" t="s">
        <v>566</v>
      </c>
      <c r="S11" s="468" t="s">
        <v>120</v>
      </c>
      <c r="T11" s="582">
        <f>(1/S37)*(1/M18)*T5*AB15+(1/R37)*U37*G10</f>
        <v>5.9627278421368488E-2</v>
      </c>
      <c r="U11" s="582">
        <f>(1/S37)*(1/M18)*T5+1/R37*(G10*S5)</f>
        <v>2.3604071100288337E-2</v>
      </c>
      <c r="V11" s="663">
        <f>($G$10*$U$37)/T11</f>
        <v>1837.6656272262778</v>
      </c>
      <c r="W11" s="664"/>
      <c r="X11" s="238"/>
      <c r="Y11" s="246"/>
      <c r="Z11" s="247"/>
      <c r="AA11" s="238"/>
      <c r="AB11" s="244"/>
      <c r="AC11" s="246"/>
      <c r="AD11" s="246"/>
      <c r="AE11" s="246"/>
      <c r="AF11" s="246"/>
      <c r="AG11" s="246"/>
      <c r="AH11" s="246"/>
      <c r="AI11" s="246"/>
      <c r="AJ11" s="246"/>
      <c r="AK11" s="246"/>
      <c r="AL11" s="246"/>
      <c r="AM11" s="246"/>
      <c r="AN11" s="246"/>
      <c r="AO11" s="246"/>
      <c r="AP11" s="246"/>
      <c r="AQ11" s="246"/>
      <c r="AS11" s="232">
        <f t="shared" si="1"/>
        <v>7</v>
      </c>
      <c r="AT11" s="278">
        <f>IF(ISNUMBER(AS11),AW10,0)</f>
        <v>106.38297872340425</v>
      </c>
      <c r="AU11" s="278"/>
      <c r="AV11" s="278">
        <f t="shared" si="2"/>
        <v>10.638297872340425</v>
      </c>
      <c r="AW11" s="278">
        <f t="shared" si="6"/>
        <v>106.38297872340425</v>
      </c>
      <c r="AX11" s="232">
        <f>IF(ISNUMBER(AS12),SUM(AU11:AV11),SUM(AU11:AW11))</f>
        <v>10.638297872340425</v>
      </c>
      <c r="AY11" s="279">
        <f t="shared" si="0"/>
        <v>3.6531480770634062E-2</v>
      </c>
      <c r="AZ11" s="232">
        <f t="shared" si="4"/>
        <v>2.5962241345697169E-2</v>
      </c>
      <c r="BA11" s="232"/>
    </row>
    <row r="12" spans="1:54" ht="22.75" customHeight="1" thickBot="1" x14ac:dyDescent="0.25">
      <c r="A12" s="246"/>
      <c r="B12" s="247"/>
      <c r="C12" s="241"/>
      <c r="D12" s="240"/>
      <c r="E12" s="234"/>
      <c r="F12" s="390"/>
      <c r="G12" s="391"/>
      <c r="H12" s="241"/>
      <c r="I12" s="241"/>
      <c r="J12" s="380"/>
      <c r="K12" s="238"/>
      <c r="L12" s="312" t="s">
        <v>399</v>
      </c>
      <c r="M12" s="313">
        <v>0.66</v>
      </c>
      <c r="N12" s="244"/>
      <c r="O12" s="238"/>
      <c r="P12" s="246"/>
      <c r="Q12" s="293"/>
      <c r="R12" s="253" t="s">
        <v>396</v>
      </c>
      <c r="S12" s="468">
        <f>T6*M12</f>
        <v>2.2924151890712065E-3</v>
      </c>
      <c r="T12" s="582">
        <f>M13*S12/(M7/M10)</f>
        <v>1.5282767927141377E-2</v>
      </c>
      <c r="U12" s="582"/>
      <c r="V12" s="594" t="s">
        <v>120</v>
      </c>
      <c r="W12" s="595"/>
      <c r="X12" s="238"/>
      <c r="Y12" s="246"/>
      <c r="Z12" s="363" t="s">
        <v>286</v>
      </c>
      <c r="AA12" s="358"/>
      <c r="AB12" s="364"/>
      <c r="AC12" s="246"/>
      <c r="AD12" s="246"/>
      <c r="AE12" s="246"/>
      <c r="AF12" s="246"/>
      <c r="AG12" s="246"/>
      <c r="AH12" s="246"/>
      <c r="AI12" s="246"/>
      <c r="AJ12" s="246"/>
      <c r="AK12" s="246"/>
      <c r="AL12" s="246"/>
      <c r="AM12" s="246"/>
      <c r="AN12" s="246"/>
      <c r="AO12" s="246"/>
      <c r="AP12" s="246"/>
      <c r="AQ12" s="246"/>
      <c r="AS12" s="232">
        <f t="shared" si="1"/>
        <v>8</v>
      </c>
      <c r="AT12" s="278">
        <f>IF(ISNUMBER(AS12),AW11,0)</f>
        <v>106.38297872340425</v>
      </c>
      <c r="AU12" s="278"/>
      <c r="AV12" s="278">
        <f t="shared" si="2"/>
        <v>10.638297872340425</v>
      </c>
      <c r="AW12" s="278">
        <f t="shared" si="6"/>
        <v>106.38297872340425</v>
      </c>
      <c r="AX12" s="232">
        <f>IF(ISNUMBER(AS13),SUM(AU12:AV12),SUM(AU12:AW12))</f>
        <v>10.638297872340425</v>
      </c>
      <c r="AY12" s="279">
        <f t="shared" si="0"/>
        <v>3.6531480770634062E-2</v>
      </c>
      <c r="AZ12" s="232">
        <f t="shared" si="4"/>
        <v>2.4725944138759212E-2</v>
      </c>
      <c r="BA12" s="232"/>
    </row>
    <row r="13" spans="1:54" ht="30.75" customHeight="1" x14ac:dyDescent="0.2">
      <c r="A13" s="246"/>
      <c r="B13" s="247"/>
      <c r="C13" s="241"/>
      <c r="D13" s="240"/>
      <c r="E13" s="234"/>
      <c r="F13" s="461" t="s">
        <v>217</v>
      </c>
      <c r="G13" s="507">
        <v>2</v>
      </c>
      <c r="H13" s="238"/>
      <c r="I13" s="241"/>
      <c r="J13" s="380"/>
      <c r="K13" s="238"/>
      <c r="L13" s="312" t="s">
        <v>398</v>
      </c>
      <c r="M13" s="313">
        <v>0.5</v>
      </c>
      <c r="N13" s="244"/>
      <c r="O13" s="238"/>
      <c r="P13" s="246"/>
      <c r="Q13" s="596" t="s">
        <v>122</v>
      </c>
      <c r="R13" s="457" t="s">
        <v>442</v>
      </c>
      <c r="S13" s="457" t="s">
        <v>563</v>
      </c>
      <c r="T13" s="569" t="s">
        <v>564</v>
      </c>
      <c r="U13" s="569"/>
      <c r="V13" s="569" t="s">
        <v>562</v>
      </c>
      <c r="W13" s="570"/>
      <c r="X13" s="238"/>
      <c r="Y13" s="246"/>
      <c r="Z13" s="360" t="s">
        <v>570</v>
      </c>
      <c r="AA13" s="361"/>
      <c r="AB13" s="365">
        <f>IF($AB$10="Yes",MAX(AB6,$AB$9),AB6)/AB6</f>
        <v>1</v>
      </c>
      <c r="AC13" s="246"/>
      <c r="AD13" s="246"/>
      <c r="AE13" s="246"/>
      <c r="AF13" s="246"/>
      <c r="AG13" s="246"/>
      <c r="AH13" s="246"/>
      <c r="AI13" s="246"/>
      <c r="AJ13" s="246"/>
      <c r="AK13" s="246"/>
      <c r="AL13" s="246"/>
      <c r="AM13" s="246"/>
      <c r="AN13" s="246"/>
      <c r="AO13" s="246"/>
      <c r="AP13" s="246"/>
      <c r="AQ13" s="246"/>
      <c r="AS13" s="232">
        <f t="shared" si="1"/>
        <v>9</v>
      </c>
      <c r="AT13" s="278">
        <f>IF(ISNUMBER(AS13),AW12,0)</f>
        <v>106.38297872340425</v>
      </c>
      <c r="AU13" s="278"/>
      <c r="AV13" s="278">
        <f t="shared" si="2"/>
        <v>10.638297872340425</v>
      </c>
      <c r="AW13" s="278">
        <f t="shared" si="6"/>
        <v>106.38297872340425</v>
      </c>
      <c r="AX13" s="232">
        <f t="shared" si="3"/>
        <v>10.638297872340425</v>
      </c>
      <c r="AY13" s="279">
        <f t="shared" si="0"/>
        <v>3.6531480770634062E-2</v>
      </c>
      <c r="AZ13" s="232">
        <f t="shared" si="4"/>
        <v>2.3548518227389723E-2</v>
      </c>
      <c r="BA13" s="232"/>
    </row>
    <row r="14" spans="1:54" ht="21" customHeight="1" thickBot="1" x14ac:dyDescent="0.25">
      <c r="A14" s="246"/>
      <c r="B14" s="597" t="s">
        <v>366</v>
      </c>
      <c r="C14" s="598" t="s">
        <v>529</v>
      </c>
      <c r="D14" s="600">
        <v>20</v>
      </c>
      <c r="E14" s="235"/>
      <c r="F14" s="598" t="s">
        <v>530</v>
      </c>
      <c r="G14" s="600">
        <v>1.7608179999999999E-3</v>
      </c>
      <c r="H14" s="238"/>
      <c r="I14" s="300" t="s">
        <v>539</v>
      </c>
      <c r="J14" s="382">
        <v>1</v>
      </c>
      <c r="K14" s="316"/>
      <c r="L14" s="312" t="s">
        <v>400</v>
      </c>
      <c r="M14" s="313">
        <v>0.8</v>
      </c>
      <c r="N14" s="244"/>
      <c r="O14" s="238"/>
      <c r="P14" s="246"/>
      <c r="Q14" s="577"/>
      <c r="R14" s="462">
        <f>BA5</f>
        <v>0.57079657625925373</v>
      </c>
      <c r="S14" s="462">
        <f>AZ4</f>
        <v>0.31632022465180309</v>
      </c>
      <c r="T14" s="602">
        <f>R14+S14</f>
        <v>0.88711680091105682</v>
      </c>
      <c r="U14" s="602"/>
      <c r="V14" s="582">
        <f>T14/(Sean!Q37/Sean!D16)</f>
        <v>3.3689147631398297E-3</v>
      </c>
      <c r="W14" s="603"/>
      <c r="X14" s="238"/>
      <c r="Y14" s="387"/>
      <c r="Z14" s="360" t="s">
        <v>560</v>
      </c>
      <c r="AA14" s="361"/>
      <c r="AB14" s="365">
        <f>IF($AB$10="Yes",MAX(AB7,$AB$9),AB7)/AB7</f>
        <v>1</v>
      </c>
      <c r="AC14" s="246"/>
      <c r="AD14" s="246"/>
      <c r="AE14" s="246"/>
      <c r="AF14" s="246"/>
      <c r="AG14" s="246"/>
      <c r="AH14" s="246"/>
      <c r="AI14" s="246"/>
      <c r="AJ14" s="246"/>
      <c r="AK14" s="246"/>
      <c r="AL14" s="246"/>
      <c r="AM14" s="246"/>
      <c r="AN14" s="246"/>
      <c r="AO14" s="246"/>
      <c r="AP14" s="246"/>
      <c r="AQ14" s="246"/>
      <c r="AS14" s="232">
        <f t="shared" si="1"/>
        <v>10</v>
      </c>
      <c r="AT14" s="278">
        <f t="shared" si="5"/>
        <v>106.38297872340425</v>
      </c>
      <c r="AU14" s="278"/>
      <c r="AV14" s="278">
        <f t="shared" si="2"/>
        <v>10.638297872340425</v>
      </c>
      <c r="AW14" s="278">
        <f t="shared" si="6"/>
        <v>106.38297872340425</v>
      </c>
      <c r="AX14" s="232">
        <f t="shared" si="3"/>
        <v>10.638297872340425</v>
      </c>
      <c r="AY14" s="279">
        <f t="shared" si="0"/>
        <v>3.6531480770634062E-2</v>
      </c>
      <c r="AZ14" s="232">
        <f t="shared" si="4"/>
        <v>2.2427160216561642E-2</v>
      </c>
      <c r="BA14" s="232"/>
    </row>
    <row r="15" spans="1:54" ht="21" customHeight="1" thickBot="1" x14ac:dyDescent="0.25">
      <c r="A15" s="246"/>
      <c r="B15" s="597"/>
      <c r="C15" s="599"/>
      <c r="D15" s="601"/>
      <c r="E15" s="235"/>
      <c r="F15" s="599"/>
      <c r="G15" s="601"/>
      <c r="H15" s="238"/>
      <c r="I15" s="300" t="s">
        <v>538</v>
      </c>
      <c r="J15" s="383">
        <v>0.85</v>
      </c>
      <c r="K15" s="316"/>
      <c r="L15" s="322" t="s">
        <v>403</v>
      </c>
      <c r="M15" s="337">
        <v>2.6999999999999996E-2</v>
      </c>
      <c r="N15" s="244"/>
      <c r="O15" s="238"/>
      <c r="P15" s="246"/>
      <c r="Q15" s="463" t="s">
        <v>129</v>
      </c>
      <c r="R15" s="415"/>
      <c r="S15" s="465" t="s">
        <v>561</v>
      </c>
      <c r="T15" s="604" t="s">
        <v>560</v>
      </c>
      <c r="U15" s="605"/>
      <c r="V15" s="465" t="s">
        <v>566</v>
      </c>
      <c r="W15" s="430" t="s">
        <v>576</v>
      </c>
      <c r="X15" s="238"/>
      <c r="Y15" s="387"/>
      <c r="Z15" s="366" t="s">
        <v>566</v>
      </c>
      <c r="AA15" s="367"/>
      <c r="AB15" s="368">
        <f>IF($AB$10="Yes",MAX(AB8,$AB$9),AB8)/AB8</f>
        <v>1</v>
      </c>
      <c r="AC15" s="246"/>
      <c r="AD15" s="246"/>
      <c r="AE15" s="246"/>
      <c r="AF15" s="246"/>
      <c r="AG15" s="246"/>
      <c r="AH15" s="246"/>
      <c r="AI15" s="246"/>
      <c r="AJ15" s="246"/>
      <c r="AK15" s="246"/>
      <c r="AL15" s="246"/>
      <c r="AM15" s="246"/>
      <c r="AN15" s="246"/>
      <c r="AO15" s="246"/>
      <c r="AP15" s="246"/>
      <c r="AQ15" s="246"/>
      <c r="AS15" s="232">
        <f t="shared" si="1"/>
        <v>11</v>
      </c>
      <c r="AT15" s="278">
        <f t="shared" si="5"/>
        <v>106.38297872340425</v>
      </c>
      <c r="AU15" s="278"/>
      <c r="AV15" s="278">
        <f t="shared" si="2"/>
        <v>10.638297872340425</v>
      </c>
      <c r="AW15" s="278">
        <f t="shared" si="6"/>
        <v>106.38297872340425</v>
      </c>
      <c r="AX15" s="232">
        <f>IF(ISNUMBER(AS16),SUM(AU15:AV15),SUM(AU15:AW15))</f>
        <v>10.638297872340425</v>
      </c>
      <c r="AY15" s="279">
        <f t="shared" si="0"/>
        <v>3.6531480770634062E-2</v>
      </c>
      <c r="AZ15" s="232">
        <f t="shared" si="4"/>
        <v>2.1359200206249183E-2</v>
      </c>
      <c r="BA15" s="232"/>
    </row>
    <row r="16" spans="1:54" ht="21" customHeight="1" x14ac:dyDescent="0.2">
      <c r="A16" s="246"/>
      <c r="B16" s="597"/>
      <c r="C16" s="606" t="s">
        <v>547</v>
      </c>
      <c r="D16" s="608">
        <v>0.80800000000000005</v>
      </c>
      <c r="E16" s="235"/>
      <c r="F16" s="606" t="s">
        <v>345</v>
      </c>
      <c r="G16" s="610">
        <v>25</v>
      </c>
      <c r="H16" s="238"/>
      <c r="I16" s="296" t="s">
        <v>556</v>
      </c>
      <c r="J16" s="384">
        <v>0.51</v>
      </c>
      <c r="K16" s="317"/>
      <c r="L16" s="238"/>
      <c r="M16" s="238"/>
      <c r="N16" s="244"/>
      <c r="O16" s="238"/>
      <c r="P16" s="246"/>
      <c r="Q16" s="459"/>
      <c r="R16" s="413" t="s">
        <v>126</v>
      </c>
      <c r="S16" s="490">
        <f>$T9/$T$9</f>
        <v>1</v>
      </c>
      <c r="T16" s="612">
        <f>$T9/$T$10</f>
        <v>1.4144689705584199</v>
      </c>
      <c r="U16" s="613"/>
      <c r="V16" s="490">
        <f>$T9/$T$11</f>
        <v>0.62502968777114332</v>
      </c>
      <c r="W16" s="491">
        <f>$T9/$V$14</f>
        <v>11.06255926155176</v>
      </c>
      <c r="X16" s="238"/>
      <c r="Y16" s="387"/>
      <c r="Z16" s="246"/>
      <c r="AA16" s="246"/>
      <c r="AB16" s="246"/>
      <c r="AC16" s="246"/>
      <c r="AD16" s="246"/>
      <c r="AE16" s="246"/>
      <c r="AF16" s="246"/>
      <c r="AG16" s="246"/>
      <c r="AH16" s="246"/>
      <c r="AI16" s="246"/>
      <c r="AJ16" s="246"/>
      <c r="AK16" s="246"/>
      <c r="AL16" s="246"/>
      <c r="AM16" s="246"/>
      <c r="AN16" s="246"/>
      <c r="AO16" s="246"/>
      <c r="AP16" s="246"/>
      <c r="AQ16" s="246"/>
      <c r="AS16" s="232">
        <f t="shared" si="1"/>
        <v>12</v>
      </c>
      <c r="AT16" s="278">
        <f t="shared" si="5"/>
        <v>106.38297872340425</v>
      </c>
      <c r="AU16" s="278"/>
      <c r="AV16" s="278">
        <f t="shared" si="2"/>
        <v>10.638297872340425</v>
      </c>
      <c r="AW16" s="278">
        <f t="shared" si="6"/>
        <v>106.38297872340425</v>
      </c>
      <c r="AX16" s="232">
        <f t="shared" ref="AX16:AX81" si="7">IF(ISNUMBER(AS17),SUM(AU16:AV16),SUM(AU16:AW16))</f>
        <v>10.638297872340425</v>
      </c>
      <c r="AY16" s="279">
        <f t="shared" si="0"/>
        <v>3.6531480770634062E-2</v>
      </c>
      <c r="AZ16" s="232">
        <f t="shared" si="4"/>
        <v>2.0342095434523033E-2</v>
      </c>
      <c r="BA16" s="232"/>
    </row>
    <row r="17" spans="1:54" ht="31.75" customHeight="1" x14ac:dyDescent="0.2">
      <c r="A17" s="246"/>
      <c r="B17" s="597"/>
      <c r="C17" s="607"/>
      <c r="D17" s="609"/>
      <c r="E17" s="235"/>
      <c r="F17" s="599"/>
      <c r="G17" s="611"/>
      <c r="H17" s="238"/>
      <c r="I17" s="297" t="s">
        <v>535</v>
      </c>
      <c r="J17" s="385">
        <v>0.5292</v>
      </c>
      <c r="K17" s="317"/>
      <c r="L17" s="614" t="s">
        <v>566</v>
      </c>
      <c r="M17" s="614"/>
      <c r="N17" s="244"/>
      <c r="O17" s="238"/>
      <c r="P17" s="246"/>
      <c r="Q17" s="459"/>
      <c r="R17" s="413" t="s">
        <v>127</v>
      </c>
      <c r="S17" s="490">
        <f>$T10/$T$9</f>
        <v>0.70697910015318943</v>
      </c>
      <c r="T17" s="612">
        <f>$T10/$T$10</f>
        <v>1</v>
      </c>
      <c r="U17" s="613"/>
      <c r="V17" s="490">
        <f>$T10/$T$11</f>
        <v>0.44188292622947184</v>
      </c>
      <c r="W17" s="491">
        <f>$T10/$V$14</f>
        <v>7.820998192123195</v>
      </c>
      <c r="X17" s="238"/>
      <c r="Y17" s="387"/>
      <c r="Z17" s="246"/>
      <c r="AA17" s="246"/>
      <c r="AB17" s="246"/>
      <c r="AC17" s="246"/>
      <c r="AD17" s="246"/>
      <c r="AE17" s="246"/>
      <c r="AF17" s="246"/>
      <c r="AG17" s="246"/>
      <c r="AH17" s="246"/>
      <c r="AI17" s="246"/>
      <c r="AJ17" s="246"/>
      <c r="AK17" s="246"/>
      <c r="AL17" s="246"/>
      <c r="AM17" s="246"/>
      <c r="AN17" s="246"/>
      <c r="AO17" s="246"/>
      <c r="AP17" s="246"/>
      <c r="AQ17" s="246"/>
      <c r="AS17" s="232">
        <f>IF(AS16&lt;$D$14,AS16+1,"")</f>
        <v>13</v>
      </c>
      <c r="AT17" s="278">
        <f>IF(ISNUMBER(AS17),AW16,0)</f>
        <v>106.38297872340425</v>
      </c>
      <c r="AU17" s="278"/>
      <c r="AV17" s="278">
        <f t="shared" si="2"/>
        <v>10.638297872340425</v>
      </c>
      <c r="AW17" s="278">
        <f t="shared" si="6"/>
        <v>106.38297872340425</v>
      </c>
      <c r="AX17" s="232">
        <f>IF(ISNUMBER(AS18),SUM(AU17:AV17),SUM(AU17:AW17))</f>
        <v>10.638297872340425</v>
      </c>
      <c r="AY17" s="279">
        <f t="shared" si="0"/>
        <v>3.6531480770634062E-2</v>
      </c>
      <c r="AZ17" s="232">
        <f t="shared" si="4"/>
        <v>1.9373424223355265E-2</v>
      </c>
      <c r="BA17" s="232"/>
    </row>
    <row r="18" spans="1:54" ht="30.75" customHeight="1" x14ac:dyDescent="0.2">
      <c r="A18" s="246"/>
      <c r="B18" s="597"/>
      <c r="C18" s="238"/>
      <c r="D18" s="238"/>
      <c r="E18" s="235"/>
      <c r="F18" s="310" t="s">
        <v>372</v>
      </c>
      <c r="G18" s="308">
        <v>0.3</v>
      </c>
      <c r="H18" s="238"/>
      <c r="I18" s="307" t="s">
        <v>229</v>
      </c>
      <c r="J18" s="306">
        <v>1</v>
      </c>
      <c r="K18" s="316"/>
      <c r="L18" s="312" t="s">
        <v>81</v>
      </c>
      <c r="M18" s="137">
        <v>1</v>
      </c>
      <c r="N18" s="244"/>
      <c r="O18" s="238"/>
      <c r="P18" s="238"/>
      <c r="Q18" s="459"/>
      <c r="R18" s="413" t="s">
        <v>128</v>
      </c>
      <c r="S18" s="490">
        <f>$T11/$T$9</f>
        <v>1.5999240029157675</v>
      </c>
      <c r="T18" s="612">
        <f>$T11/$T$10</f>
        <v>2.2630428573759724</v>
      </c>
      <c r="U18" s="613"/>
      <c r="V18" s="490">
        <f>$T11/$T$11</f>
        <v>1</v>
      </c>
      <c r="W18" s="491">
        <f>$T11/$V$14</f>
        <v>17.699254096234789</v>
      </c>
      <c r="X18" s="238"/>
      <c r="Y18" s="246"/>
      <c r="Z18" s="246"/>
      <c r="AA18" s="246"/>
      <c r="AB18" s="246"/>
      <c r="AC18" s="246"/>
      <c r="AD18" s="246"/>
      <c r="AE18" s="246"/>
      <c r="AF18" s="246"/>
      <c r="AG18" s="246"/>
      <c r="AH18" s="246"/>
      <c r="AI18" s="246"/>
      <c r="AJ18" s="246"/>
      <c r="AK18" s="246"/>
      <c r="AL18" s="246"/>
      <c r="AM18" s="246"/>
      <c r="AN18" s="246"/>
      <c r="AO18" s="246"/>
      <c r="AP18" s="246"/>
      <c r="AQ18" s="246"/>
      <c r="AS18" s="232">
        <f>IF(AS17&lt;$D$14,AS17+1,"")</f>
        <v>14</v>
      </c>
      <c r="AT18" s="278">
        <f>IF(ISNUMBER(AS18),AW17,0)</f>
        <v>106.38297872340425</v>
      </c>
      <c r="AU18" s="278"/>
      <c r="AV18" s="278">
        <f t="shared" si="2"/>
        <v>10.638297872340425</v>
      </c>
      <c r="AW18" s="278">
        <f t="shared" si="6"/>
        <v>106.38297872340425</v>
      </c>
      <c r="AX18" s="232">
        <f>IF(ISNUMBER(AS19),SUM(AU18:AV18),SUM(AU18:AW18))</f>
        <v>10.638297872340425</v>
      </c>
      <c r="AY18" s="279">
        <f t="shared" si="0"/>
        <v>3.6531480770634062E-2</v>
      </c>
      <c r="AZ18" s="232">
        <f t="shared" si="4"/>
        <v>1.8450880212719307E-2</v>
      </c>
      <c r="BA18" s="232"/>
    </row>
    <row r="19" spans="1:54" ht="21" customHeight="1" thickBot="1" x14ac:dyDescent="0.25">
      <c r="A19" s="246"/>
      <c r="B19" s="302"/>
      <c r="C19" s="239"/>
      <c r="D19" s="239"/>
      <c r="E19" s="239"/>
      <c r="F19" s="303"/>
      <c r="G19" s="304"/>
      <c r="H19" s="239"/>
      <c r="I19" s="239"/>
      <c r="J19" s="239"/>
      <c r="K19" s="239"/>
      <c r="L19" s="319"/>
      <c r="M19" s="239"/>
      <c r="N19" s="305"/>
      <c r="O19" s="238"/>
      <c r="P19" s="246"/>
      <c r="Q19" s="469"/>
      <c r="R19" s="414" t="s">
        <v>130</v>
      </c>
      <c r="S19" s="492">
        <f>$V14/$T$9</f>
        <v>9.0394995982125817E-2</v>
      </c>
      <c r="T19" s="615">
        <f>$V14/$T$10</f>
        <v>0.12786091691047</v>
      </c>
      <c r="U19" s="616"/>
      <c r="V19" s="492">
        <f>$V14/$T$11</f>
        <v>5.649955611478185E-2</v>
      </c>
      <c r="W19" s="493">
        <f>$V14/$T$14</f>
        <v>3.7976000000000004E-3</v>
      </c>
      <c r="X19" s="238"/>
      <c r="Y19" s="246"/>
      <c r="Z19" s="246"/>
      <c r="AA19" s="246"/>
      <c r="AB19" s="246"/>
      <c r="AC19" s="246"/>
      <c r="AD19" s="246"/>
      <c r="AE19" s="246"/>
      <c r="AF19" s="246"/>
      <c r="AG19" s="246"/>
      <c r="AH19" s="246"/>
      <c r="AI19" s="246"/>
      <c r="AJ19" s="246"/>
      <c r="AK19" s="246"/>
      <c r="AL19" s="246"/>
      <c r="AM19" s="246"/>
      <c r="AN19" s="246"/>
      <c r="AO19" s="246"/>
      <c r="AP19" s="246"/>
      <c r="AQ19" s="246"/>
      <c r="AS19" s="232">
        <f>IF(AS18&lt;$D$14,AS18+1,"")</f>
        <v>15</v>
      </c>
      <c r="AT19" s="278">
        <f>IF(ISNUMBER(AS19),AW18,0)</f>
        <v>106.38297872340425</v>
      </c>
      <c r="AU19" s="278"/>
      <c r="AV19" s="278">
        <f t="shared" si="2"/>
        <v>10.638297872340425</v>
      </c>
      <c r="AW19" s="278">
        <f t="shared" si="6"/>
        <v>106.38297872340425</v>
      </c>
      <c r="AX19" s="232">
        <f t="shared" si="7"/>
        <v>10.638297872340425</v>
      </c>
      <c r="AY19" s="279">
        <f t="shared" si="0"/>
        <v>3.6531480770634062E-2</v>
      </c>
      <c r="AZ19" s="232">
        <f t="shared" si="4"/>
        <v>1.7572266869256475E-2</v>
      </c>
      <c r="BA19" s="232"/>
    </row>
    <row r="20" spans="1:54" ht="9.75" customHeight="1" thickBot="1" x14ac:dyDescent="0.25">
      <c r="A20" s="246"/>
      <c r="B20" s="246"/>
      <c r="C20" s="246"/>
      <c r="D20" s="246"/>
      <c r="E20" s="246"/>
      <c r="F20" s="246"/>
      <c r="G20" s="246"/>
      <c r="H20" s="246"/>
      <c r="I20" s="246"/>
      <c r="J20" s="246"/>
      <c r="K20" s="246"/>
      <c r="L20" s="246"/>
      <c r="M20" s="246"/>
      <c r="N20" s="246"/>
      <c r="O20" s="246"/>
      <c r="P20" s="246"/>
      <c r="Q20" s="238"/>
      <c r="R20" s="238"/>
      <c r="S20" s="238"/>
      <c r="T20" s="238"/>
      <c r="U20" s="238"/>
      <c r="V20" s="238"/>
      <c r="W20" s="238"/>
      <c r="Y20" s="246"/>
      <c r="Z20" s="246"/>
      <c r="AA20" s="246"/>
      <c r="AB20" s="246"/>
      <c r="AC20" s="246"/>
      <c r="AD20" s="246"/>
      <c r="AE20" s="246"/>
      <c r="AF20" s="246"/>
      <c r="AG20" s="246"/>
      <c r="AH20" s="246"/>
      <c r="AI20" s="246"/>
      <c r="AJ20" s="246"/>
      <c r="AK20" s="246"/>
      <c r="AL20" s="246"/>
      <c r="AM20" s="246"/>
      <c r="AN20" s="246"/>
      <c r="AO20" s="246"/>
      <c r="AP20" s="246"/>
      <c r="AQ20" s="246"/>
      <c r="AS20" s="232">
        <f t="shared" si="1"/>
        <v>16</v>
      </c>
      <c r="AT20" s="278">
        <f t="shared" si="5"/>
        <v>106.38297872340425</v>
      </c>
      <c r="AU20" s="278"/>
      <c r="AV20" s="278">
        <f t="shared" si="2"/>
        <v>10.638297872340425</v>
      </c>
      <c r="AW20" s="278">
        <f t="shared" si="6"/>
        <v>106.38297872340425</v>
      </c>
      <c r="AX20" s="232">
        <f>IF(ISNUMBER(AS21),SUM(AU20:AV20),SUM(AU20:AW20))</f>
        <v>10.638297872340425</v>
      </c>
      <c r="AY20" s="279">
        <f t="shared" si="0"/>
        <v>3.6531480770634062E-2</v>
      </c>
      <c r="AZ20" s="232">
        <f t="shared" si="4"/>
        <v>1.6735492256434739E-2</v>
      </c>
      <c r="BA20" s="232"/>
    </row>
    <row r="21" spans="1:54" ht="10.5" customHeight="1" x14ac:dyDescent="0.2">
      <c r="A21" s="246"/>
      <c r="B21" s="246"/>
      <c r="C21" s="246"/>
      <c r="D21" s="246"/>
      <c r="E21" s="238"/>
      <c r="F21" s="617" t="s">
        <v>562</v>
      </c>
      <c r="G21" s="257" t="s">
        <v>561</v>
      </c>
      <c r="H21" s="258"/>
      <c r="I21" s="487">
        <f>T9</f>
        <v>3.7268819214350976E-2</v>
      </c>
      <c r="J21" s="259"/>
      <c r="K21" s="260"/>
      <c r="L21" s="263"/>
      <c r="M21" s="263"/>
      <c r="N21" s="263"/>
      <c r="O21" s="263"/>
      <c r="P21" s="238"/>
      <c r="Q21" s="557" t="s">
        <v>285</v>
      </c>
      <c r="R21" s="621" t="s">
        <v>243</v>
      </c>
      <c r="S21" s="622"/>
      <c r="T21" s="355"/>
      <c r="U21" s="625" t="s">
        <v>281</v>
      </c>
      <c r="V21" s="625"/>
      <c r="W21" s="626"/>
      <c r="Y21" s="246"/>
      <c r="Z21" s="246"/>
      <c r="AA21" s="246"/>
      <c r="AB21" s="246"/>
      <c r="AC21" s="246"/>
      <c r="AD21" s="246"/>
      <c r="AE21" s="246"/>
      <c r="AF21" s="246"/>
      <c r="AG21" s="246"/>
      <c r="AH21" s="246"/>
      <c r="AI21" s="246"/>
      <c r="AJ21" s="246"/>
      <c r="AK21" s="246"/>
      <c r="AL21" s="246"/>
      <c r="AM21" s="246"/>
      <c r="AN21" s="246"/>
      <c r="AO21" s="246"/>
      <c r="AP21" s="246"/>
      <c r="AQ21" s="246"/>
      <c r="AS21" s="232">
        <f>IF(AS20&lt;$D$14,AS20+1,"")</f>
        <v>17</v>
      </c>
      <c r="AT21" s="278">
        <f>IF(ISNUMBER(AS21),AW20,0)</f>
        <v>106.38297872340425</v>
      </c>
      <c r="AU21" s="278"/>
      <c r="AV21" s="278">
        <f t="shared" si="2"/>
        <v>10.638297872340425</v>
      </c>
      <c r="AW21" s="278">
        <f t="shared" si="6"/>
        <v>106.38297872340425</v>
      </c>
      <c r="AX21" s="232">
        <f t="shared" si="7"/>
        <v>10.638297872340425</v>
      </c>
      <c r="AY21" s="279">
        <f t="shared" si="0"/>
        <v>3.6531480770634062E-2</v>
      </c>
      <c r="AZ21" s="232">
        <f t="shared" si="4"/>
        <v>1.593856405374737E-2</v>
      </c>
      <c r="BA21" s="232"/>
    </row>
    <row r="22" spans="1:54" ht="12" customHeight="1" thickBot="1" x14ac:dyDescent="0.25">
      <c r="A22" s="246"/>
      <c r="B22" s="246"/>
      <c r="C22" s="246"/>
      <c r="D22" s="246"/>
      <c r="E22" s="238"/>
      <c r="F22" s="618"/>
      <c r="G22" s="261" t="s">
        <v>560</v>
      </c>
      <c r="H22" s="262"/>
      <c r="I22" s="488">
        <f>T10</f>
        <v>2.634827627193375E-2</v>
      </c>
      <c r="J22" s="263"/>
      <c r="K22" s="264"/>
      <c r="L22" s="263"/>
      <c r="M22" s="263"/>
      <c r="N22" s="263"/>
      <c r="O22" s="263"/>
      <c r="P22" s="238"/>
      <c r="Q22" s="619"/>
      <c r="R22" s="623"/>
      <c r="S22" s="624"/>
      <c r="T22" s="356"/>
      <c r="U22" s="627"/>
      <c r="V22" s="627"/>
      <c r="W22" s="628"/>
      <c r="Y22" s="246"/>
      <c r="Z22" s="246"/>
      <c r="AA22" s="246"/>
      <c r="AB22" s="246"/>
      <c r="AC22" s="246"/>
      <c r="AD22" s="246"/>
      <c r="AE22" s="246"/>
      <c r="AF22" s="246"/>
      <c r="AG22" s="246"/>
      <c r="AH22" s="246"/>
      <c r="AI22" s="246"/>
      <c r="AJ22" s="246"/>
      <c r="AK22" s="246"/>
      <c r="AL22" s="246"/>
      <c r="AM22" s="246"/>
      <c r="AN22" s="246"/>
      <c r="AO22" s="246"/>
      <c r="AP22" s="246"/>
      <c r="AQ22" s="246"/>
      <c r="AS22" s="232">
        <f t="shared" si="1"/>
        <v>18</v>
      </c>
      <c r="AT22" s="278">
        <f t="shared" si="5"/>
        <v>106.38297872340425</v>
      </c>
      <c r="AU22" s="278"/>
      <c r="AV22" s="278">
        <f t="shared" si="2"/>
        <v>10.638297872340425</v>
      </c>
      <c r="AW22" s="278">
        <f t="shared" si="6"/>
        <v>106.38297872340425</v>
      </c>
      <c r="AX22" s="232">
        <f t="shared" si="7"/>
        <v>10.638297872340425</v>
      </c>
      <c r="AY22" s="279">
        <f t="shared" si="0"/>
        <v>3.6531480770634062E-2</v>
      </c>
      <c r="AZ22" s="232">
        <f t="shared" si="4"/>
        <v>1.5179584813092733E-2</v>
      </c>
      <c r="BA22" s="232"/>
    </row>
    <row r="23" spans="1:54" ht="10.75" customHeight="1" x14ac:dyDescent="0.2">
      <c r="A23" s="246"/>
      <c r="B23" s="565" t="s">
        <v>410</v>
      </c>
      <c r="C23" s="637"/>
      <c r="D23" s="637"/>
      <c r="E23" s="637"/>
      <c r="F23" s="618"/>
      <c r="G23" s="261" t="s">
        <v>390</v>
      </c>
      <c r="H23" s="262"/>
      <c r="I23" s="488">
        <f>T12</f>
        <v>1.5282767927141377E-2</v>
      </c>
      <c r="J23" s="263"/>
      <c r="K23" s="264"/>
      <c r="L23" s="263"/>
      <c r="M23" s="263"/>
      <c r="N23" s="263"/>
      <c r="O23" s="263"/>
      <c r="P23" s="238"/>
      <c r="Q23" s="619"/>
      <c r="R23" s="347" t="s">
        <v>566</v>
      </c>
      <c r="S23" s="494">
        <f>(R37/S37)*T5</f>
        <v>59.662901572617507</v>
      </c>
      <c r="T23" s="495"/>
      <c r="U23" s="496"/>
      <c r="V23" s="496"/>
      <c r="W23" s="497"/>
      <c r="Y23" s="246"/>
      <c r="Z23" s="246"/>
      <c r="AA23" s="246"/>
      <c r="AB23" s="246"/>
      <c r="AC23" s="246"/>
      <c r="AD23" s="246"/>
      <c r="AE23" s="246"/>
      <c r="AF23" s="246"/>
      <c r="AG23" s="246"/>
      <c r="AH23" s="246"/>
      <c r="AI23" s="246"/>
      <c r="AJ23" s="246"/>
      <c r="AK23" s="246"/>
      <c r="AL23" s="246"/>
      <c r="AM23" s="246"/>
      <c r="AN23" s="246"/>
      <c r="AO23" s="246"/>
      <c r="AP23" s="246"/>
      <c r="AQ23" s="246"/>
      <c r="AS23" s="232">
        <f t="shared" si="1"/>
        <v>19</v>
      </c>
      <c r="AT23" s="278">
        <f t="shared" si="5"/>
        <v>106.38297872340425</v>
      </c>
      <c r="AU23" s="278"/>
      <c r="AV23" s="278">
        <f t="shared" si="2"/>
        <v>10.638297872340425</v>
      </c>
      <c r="AW23" s="278">
        <f t="shared" si="6"/>
        <v>106.38297872340425</v>
      </c>
      <c r="AX23" s="232">
        <f t="shared" si="7"/>
        <v>10.638297872340425</v>
      </c>
      <c r="AY23" s="279">
        <f t="shared" si="0"/>
        <v>3.6531480770634062E-2</v>
      </c>
      <c r="AZ23" s="232">
        <f t="shared" si="4"/>
        <v>1.4456747441040698E-2</v>
      </c>
      <c r="BA23" s="232"/>
    </row>
    <row r="24" spans="1:54" ht="12.75" customHeight="1" x14ac:dyDescent="0.2">
      <c r="A24" s="246"/>
      <c r="B24" s="638"/>
      <c r="C24" s="639"/>
      <c r="D24" s="639"/>
      <c r="E24" s="639"/>
      <c r="F24" s="618"/>
      <c r="G24" s="261" t="s">
        <v>542</v>
      </c>
      <c r="H24" s="262"/>
      <c r="I24" s="488">
        <f>V14</f>
        <v>3.3689147631398297E-3</v>
      </c>
      <c r="J24" s="263"/>
      <c r="K24" s="264"/>
      <c r="L24" s="263"/>
      <c r="M24" s="263"/>
      <c r="N24" s="263"/>
      <c r="O24" s="263"/>
      <c r="P24" s="238"/>
      <c r="Q24" s="619"/>
      <c r="R24" s="347" t="s">
        <v>570</v>
      </c>
      <c r="S24" s="494">
        <f>T9*$R$37</f>
        <v>105.77871277897661</v>
      </c>
      <c r="T24" s="495"/>
      <c r="U24" s="496" t="s">
        <v>570</v>
      </c>
      <c r="V24" s="496"/>
      <c r="W24" s="497">
        <f>S24/S$23</f>
        <v>1.7729394647397456</v>
      </c>
      <c r="Y24" s="246"/>
      <c r="Z24" s="246"/>
      <c r="AA24" s="246"/>
      <c r="AB24" s="246"/>
      <c r="AC24" s="246"/>
      <c r="AD24" s="246"/>
      <c r="AE24" s="246"/>
      <c r="AF24" s="246"/>
      <c r="AG24" s="246"/>
      <c r="AH24" s="246"/>
      <c r="AI24" s="246"/>
      <c r="AJ24" s="246"/>
      <c r="AK24" s="246"/>
      <c r="AL24" s="246"/>
      <c r="AM24" s="246"/>
      <c r="AN24" s="246"/>
      <c r="AO24" s="246"/>
      <c r="AP24" s="246"/>
      <c r="AQ24" s="246"/>
      <c r="AS24" s="232">
        <f t="shared" si="1"/>
        <v>20</v>
      </c>
      <c r="AT24" s="278">
        <f t="shared" si="5"/>
        <v>106.38297872340425</v>
      </c>
      <c r="AU24" s="278"/>
      <c r="AV24" s="278">
        <f t="shared" si="2"/>
        <v>10.638297872340425</v>
      </c>
      <c r="AW24" s="278">
        <f t="shared" si="6"/>
        <v>106.38297872340425</v>
      </c>
      <c r="AX24" s="232">
        <f>IF(ISNUMBER(AS25),SUM(AU24:AV24),SUM(AU24:AW24))</f>
        <v>117.02127659574468</v>
      </c>
      <c r="AY24" s="279">
        <f t="shared" si="0"/>
        <v>0.34307646019126814</v>
      </c>
      <c r="AZ24" s="232">
        <f t="shared" si="4"/>
        <v>0.12930190966738664</v>
      </c>
      <c r="BA24" s="232"/>
    </row>
    <row r="25" spans="1:54" ht="14.5" customHeight="1" thickBot="1" x14ac:dyDescent="0.25">
      <c r="A25" s="246"/>
      <c r="B25" s="638"/>
      <c r="C25" s="639"/>
      <c r="D25" s="639"/>
      <c r="E25" s="639"/>
      <c r="F25" s="265" t="s">
        <v>574</v>
      </c>
      <c r="G25" s="266"/>
      <c r="H25" s="266"/>
      <c r="I25" s="267">
        <f>V14*J37</f>
        <v>0.96324781751113819</v>
      </c>
      <c r="J25" s="263"/>
      <c r="K25" s="264"/>
      <c r="L25" s="263"/>
      <c r="M25" s="263"/>
      <c r="N25" s="263"/>
      <c r="O25" s="263"/>
      <c r="P25" s="238"/>
      <c r="Q25" s="620"/>
      <c r="R25" s="347" t="s">
        <v>560</v>
      </c>
      <c r="S25" s="494">
        <f>T10*$R$37</f>
        <v>74.783339175843565</v>
      </c>
      <c r="T25" s="495"/>
      <c r="U25" s="496" t="s">
        <v>560</v>
      </c>
      <c r="V25" s="496"/>
      <c r="W25" s="497">
        <f>S25/S$23</f>
        <v>1.2534311474077826</v>
      </c>
      <c r="Y25" s="246"/>
      <c r="Z25" s="246"/>
      <c r="AA25" s="246"/>
      <c r="AB25" s="246"/>
      <c r="AC25" s="246"/>
      <c r="AD25" s="246"/>
      <c r="AE25" s="246"/>
      <c r="AF25" s="246"/>
      <c r="AG25" s="246"/>
      <c r="AH25" s="246"/>
      <c r="AI25" s="246"/>
      <c r="AJ25" s="246"/>
      <c r="AK25" s="246"/>
      <c r="AL25" s="246"/>
      <c r="AM25" s="246"/>
      <c r="AN25" s="246"/>
      <c r="AO25" s="246"/>
      <c r="AP25" s="246"/>
      <c r="AQ25" s="246"/>
      <c r="AS25" s="232" t="str">
        <f>IF(AS24&lt;$D$14,AS24+1,"")</f>
        <v/>
      </c>
      <c r="AT25" s="278">
        <f>IF(ISNUMBER(AS25),AW24,0)</f>
        <v>0</v>
      </c>
      <c r="AU25" s="278"/>
      <c r="AV25" s="278">
        <f t="shared" si="2"/>
        <v>0</v>
      </c>
      <c r="AW25" s="278">
        <f t="shared" si="6"/>
        <v>0</v>
      </c>
      <c r="AX25" s="232">
        <f t="shared" si="7"/>
        <v>0</v>
      </c>
      <c r="AY25" s="279">
        <f t="shared" si="0"/>
        <v>0</v>
      </c>
      <c r="AZ25" s="232">
        <f t="shared" si="4"/>
        <v>0</v>
      </c>
      <c r="BA25" s="232"/>
    </row>
    <row r="26" spans="1:54" ht="12" customHeight="1" thickBot="1" x14ac:dyDescent="0.25">
      <c r="A26" s="246"/>
      <c r="B26" s="567"/>
      <c r="C26" s="640"/>
      <c r="D26" s="640"/>
      <c r="E26" s="640"/>
      <c r="F26" s="247"/>
      <c r="G26" s="238"/>
      <c r="H26" s="238"/>
      <c r="I26" s="238"/>
      <c r="J26" s="238"/>
      <c r="K26" s="244"/>
      <c r="L26" s="238"/>
      <c r="M26" s="238"/>
      <c r="N26" s="238"/>
      <c r="O26" s="263"/>
      <c r="P26" s="238"/>
      <c r="Q26" s="238"/>
      <c r="R26" s="347" t="s">
        <v>390</v>
      </c>
      <c r="S26" s="494">
        <f>T12*$R$37</f>
        <v>43.376515626509253</v>
      </c>
      <c r="T26" s="495"/>
      <c r="U26" s="496" t="s">
        <v>390</v>
      </c>
      <c r="V26" s="496"/>
      <c r="W26" s="497">
        <f>S26/S$23</f>
        <v>0.72702658575386914</v>
      </c>
      <c r="Y26" s="246"/>
      <c r="Z26" s="246"/>
      <c r="AA26" s="246"/>
      <c r="AB26" s="246"/>
      <c r="AC26" s="246"/>
      <c r="AD26" s="246"/>
      <c r="AE26" s="246"/>
      <c r="AF26" s="246"/>
      <c r="AG26" s="246"/>
      <c r="AH26" s="246"/>
      <c r="AI26" s="246"/>
      <c r="AJ26" s="246"/>
      <c r="AK26" s="246"/>
      <c r="AL26" s="246"/>
      <c r="AM26" s="246"/>
      <c r="AN26" s="246"/>
      <c r="AO26" s="246"/>
      <c r="AP26" s="246"/>
      <c r="AQ26" s="246"/>
      <c r="AS26" s="232" t="str">
        <f t="shared" si="1"/>
        <v/>
      </c>
      <c r="AT26" s="278">
        <f t="shared" si="5"/>
        <v>0</v>
      </c>
      <c r="AU26" s="278"/>
      <c r="AV26" s="278">
        <f t="shared" si="2"/>
        <v>0</v>
      </c>
      <c r="AW26" s="278">
        <f t="shared" si="6"/>
        <v>0</v>
      </c>
      <c r="AX26" s="232">
        <f t="shared" si="7"/>
        <v>0</v>
      </c>
      <c r="AY26" s="279">
        <f t="shared" si="0"/>
        <v>0</v>
      </c>
      <c r="AZ26" s="232">
        <f t="shared" si="4"/>
        <v>0</v>
      </c>
      <c r="BA26" s="232"/>
    </row>
    <row r="27" spans="1:54" ht="12.75" customHeight="1" x14ac:dyDescent="0.2">
      <c r="A27" s="246"/>
      <c r="B27" s="246"/>
      <c r="C27" s="246"/>
      <c r="D27" s="246"/>
      <c r="E27" s="238"/>
      <c r="F27" s="268" t="s">
        <v>282</v>
      </c>
      <c r="G27" s="489">
        <f>I21/I$24</f>
        <v>11.06255926155176</v>
      </c>
      <c r="H27" s="269" t="s">
        <v>568</v>
      </c>
      <c r="I27" s="266"/>
      <c r="J27" s="266"/>
      <c r="K27" s="270"/>
      <c r="L27" s="238"/>
      <c r="M27" s="238"/>
      <c r="N27" s="238"/>
      <c r="O27" s="263"/>
      <c r="P27" s="238"/>
      <c r="R27" s="347" t="s">
        <v>542</v>
      </c>
      <c r="S27" s="494">
        <f>V14*$R$37</f>
        <v>9.5618663166500308</v>
      </c>
      <c r="T27" s="495"/>
      <c r="U27" s="496" t="s">
        <v>542</v>
      </c>
      <c r="V27" s="496"/>
      <c r="W27" s="497">
        <f>S27/S$23</f>
        <v>0.1602648557917016</v>
      </c>
      <c r="Y27" s="246"/>
      <c r="Z27" s="246"/>
      <c r="AA27" s="246"/>
      <c r="AB27" s="246"/>
      <c r="AC27" s="246"/>
      <c r="AD27" s="246"/>
      <c r="AE27" s="246"/>
      <c r="AF27" s="246"/>
      <c r="AG27" s="246"/>
      <c r="AH27" s="246"/>
      <c r="AI27" s="246"/>
      <c r="AJ27" s="246"/>
      <c r="AK27" s="246"/>
      <c r="AL27" s="246"/>
      <c r="AM27" s="246"/>
      <c r="AN27" s="246"/>
      <c r="AO27" s="246"/>
      <c r="AP27" s="246"/>
      <c r="AQ27" s="246"/>
      <c r="AS27" s="232" t="str">
        <f t="shared" si="1"/>
        <v/>
      </c>
      <c r="AT27" s="278">
        <f t="shared" si="5"/>
        <v>0</v>
      </c>
      <c r="AU27" s="278"/>
      <c r="AV27" s="278">
        <f t="shared" si="2"/>
        <v>0</v>
      </c>
      <c r="AW27" s="278">
        <f t="shared" si="6"/>
        <v>0</v>
      </c>
      <c r="AX27" s="232">
        <f t="shared" si="7"/>
        <v>0</v>
      </c>
      <c r="AY27" s="279">
        <f t="shared" si="0"/>
        <v>0</v>
      </c>
      <c r="AZ27" s="232">
        <f t="shared" si="4"/>
        <v>0</v>
      </c>
      <c r="BA27" s="288"/>
      <c r="BB27" s="246"/>
    </row>
    <row r="28" spans="1:54" s="246" customFormat="1" ht="14.5" customHeight="1" x14ac:dyDescent="0.2">
      <c r="E28" s="238"/>
      <c r="F28" s="268" t="s">
        <v>569</v>
      </c>
      <c r="G28" s="489">
        <f>I22/I$24</f>
        <v>7.820998192123195</v>
      </c>
      <c r="H28" s="269" t="s">
        <v>568</v>
      </c>
      <c r="I28" s="266"/>
      <c r="J28" s="266"/>
      <c r="K28" s="270"/>
      <c r="L28" s="238"/>
      <c r="M28" s="238"/>
      <c r="N28" s="238"/>
      <c r="O28" s="263"/>
      <c r="P28" s="238"/>
      <c r="R28" s="345" t="s">
        <v>247</v>
      </c>
      <c r="S28" s="498"/>
      <c r="T28" s="495"/>
      <c r="U28" s="495"/>
      <c r="V28" s="495"/>
      <c r="W28" s="499" t="s">
        <v>280</v>
      </c>
      <c r="AS28" s="232" t="str">
        <f t="shared" si="1"/>
        <v/>
      </c>
      <c r="AT28" s="278">
        <f t="shared" si="5"/>
        <v>0</v>
      </c>
      <c r="AU28" s="278"/>
      <c r="AV28" s="278">
        <f t="shared" si="2"/>
        <v>0</v>
      </c>
      <c r="AW28" s="278">
        <f t="shared" si="6"/>
        <v>0</v>
      </c>
      <c r="AX28" s="232">
        <f>IF(ISNUMBER(AS29),SUM(AU28:AV28),SUM(AU28:AW28))</f>
        <v>0</v>
      </c>
      <c r="AY28" s="279">
        <f t="shared" si="0"/>
        <v>0</v>
      </c>
      <c r="AZ28" s="232">
        <f t="shared" si="4"/>
        <v>0</v>
      </c>
      <c r="BA28" s="232"/>
      <c r="BB28" s="233"/>
    </row>
    <row r="29" spans="1:54" ht="13.75" customHeight="1" x14ac:dyDescent="0.2">
      <c r="A29" s="246"/>
      <c r="B29" s="246"/>
      <c r="C29" s="246"/>
      <c r="D29" s="246"/>
      <c r="E29" s="238"/>
      <c r="F29" s="268" t="s">
        <v>407</v>
      </c>
      <c r="G29" s="489">
        <f>I23/I$24</f>
        <v>4.5364068258283368</v>
      </c>
      <c r="H29" s="269" t="s">
        <v>568</v>
      </c>
      <c r="I29" s="266"/>
      <c r="J29" s="266"/>
      <c r="K29" s="270"/>
      <c r="L29" s="238"/>
      <c r="M29" s="238"/>
      <c r="N29" s="238"/>
      <c r="O29" s="263"/>
      <c r="P29" s="238"/>
      <c r="Q29" s="344"/>
      <c r="R29" s="346" t="s">
        <v>570</v>
      </c>
      <c r="S29" s="494">
        <f>IFERROR(IF(S24-S$23&gt;0,S24-S$23,"N/A"),"N/A")</f>
        <v>46.115811206359105</v>
      </c>
      <c r="T29" s="500"/>
      <c r="U29" s="496"/>
      <c r="V29" s="496"/>
      <c r="W29" s="501" t="str">
        <f>IF(AND(S29&lt;&gt;"N/A",S29&gt;=$W$33),R29,"Bednets")</f>
        <v>Bednets</v>
      </c>
      <c r="Y29" s="246"/>
      <c r="Z29" s="246"/>
      <c r="AA29" s="246"/>
      <c r="AB29" s="246"/>
      <c r="AC29" s="246"/>
      <c r="AD29" s="246"/>
      <c r="AE29" s="246"/>
      <c r="AF29" s="246"/>
      <c r="AG29" s="246"/>
      <c r="AH29" s="246"/>
      <c r="AI29" s="246"/>
      <c r="AJ29" s="246"/>
      <c r="AK29" s="246"/>
      <c r="AL29" s="246"/>
      <c r="AM29" s="246"/>
      <c r="AN29" s="246"/>
      <c r="AO29" s="246"/>
      <c r="AP29" s="246"/>
      <c r="AQ29" s="246"/>
      <c r="AS29" s="232" t="str">
        <f>IF(AS28&lt;$D$14,AS28+1,"")</f>
        <v/>
      </c>
      <c r="AT29" s="278">
        <f>IF(ISNUMBER(AS29),AW28,0)</f>
        <v>0</v>
      </c>
      <c r="AU29" s="278"/>
      <c r="AV29" s="278">
        <f t="shared" si="2"/>
        <v>0</v>
      </c>
      <c r="AW29" s="278">
        <f t="shared" si="6"/>
        <v>0</v>
      </c>
      <c r="AX29" s="232">
        <f t="shared" si="7"/>
        <v>0</v>
      </c>
      <c r="AY29" s="279">
        <f t="shared" si="0"/>
        <v>0</v>
      </c>
      <c r="AZ29" s="232">
        <f t="shared" si="4"/>
        <v>0</v>
      </c>
      <c r="BA29" s="232"/>
    </row>
    <row r="30" spans="1:54" ht="13.5" customHeight="1" x14ac:dyDescent="0.2">
      <c r="A30" s="246"/>
      <c r="B30" s="246"/>
      <c r="C30" s="246"/>
      <c r="D30" s="246"/>
      <c r="E30" s="238"/>
      <c r="F30" s="247"/>
      <c r="G30" s="238"/>
      <c r="H30" s="238"/>
      <c r="I30" s="238"/>
      <c r="J30" s="263"/>
      <c r="K30" s="264"/>
      <c r="L30" s="238"/>
      <c r="M30" s="238"/>
      <c r="N30" s="238"/>
      <c r="O30" s="263"/>
      <c r="P30" s="238"/>
      <c r="Q30" s="344"/>
      <c r="R30" s="346" t="s">
        <v>560</v>
      </c>
      <c r="S30" s="494">
        <f>IFERROR(IF(S25-S$23&gt;0,S25-S$23,"N/A"),"N/A")</f>
        <v>15.120437603226058</v>
      </c>
      <c r="T30" s="500"/>
      <c r="U30" s="496"/>
      <c r="V30" s="496"/>
      <c r="W30" s="501" t="str">
        <f>IF(AND(S30&lt;&gt;"N/A",S30&gt;=$W$33),R30,"Bednets")</f>
        <v>Bednets</v>
      </c>
      <c r="Y30" s="246"/>
      <c r="Z30" s="246"/>
      <c r="AA30" s="246"/>
      <c r="AB30" s="246"/>
      <c r="AC30" s="246"/>
      <c r="AD30" s="246"/>
      <c r="AE30" s="246"/>
      <c r="AF30" s="246"/>
      <c r="AG30" s="246"/>
      <c r="AH30" s="246"/>
      <c r="AI30" s="246"/>
      <c r="AJ30" s="246"/>
      <c r="AK30" s="246"/>
      <c r="AL30" s="246"/>
      <c r="AM30" s="246"/>
      <c r="AN30" s="246"/>
      <c r="AO30" s="246"/>
      <c r="AP30" s="246"/>
      <c r="AQ30" s="246"/>
      <c r="AS30" s="232" t="str">
        <f t="shared" si="1"/>
        <v/>
      </c>
      <c r="AT30" s="278">
        <f t="shared" si="5"/>
        <v>0</v>
      </c>
      <c r="AU30" s="278"/>
      <c r="AV30" s="278">
        <f t="shared" si="2"/>
        <v>0</v>
      </c>
      <c r="AW30" s="278">
        <f t="shared" si="6"/>
        <v>0</v>
      </c>
      <c r="AX30" s="232">
        <f>IF(ISNUMBER(AS33),SUM(AU30:AV30),SUM(AU30:AW30))</f>
        <v>0</v>
      </c>
      <c r="AY30" s="279">
        <f t="shared" si="0"/>
        <v>0</v>
      </c>
      <c r="AZ30" s="232">
        <f t="shared" si="4"/>
        <v>0</v>
      </c>
      <c r="BA30" s="232"/>
    </row>
    <row r="31" spans="1:54" ht="13.5" customHeight="1" x14ac:dyDescent="0.2">
      <c r="A31" s="246"/>
      <c r="B31" s="246"/>
      <c r="C31" s="246"/>
      <c r="D31" s="246"/>
      <c r="E31" s="238"/>
      <c r="F31" s="618" t="s">
        <v>446</v>
      </c>
      <c r="G31" s="261" t="s">
        <v>570</v>
      </c>
      <c r="H31" s="262"/>
      <c r="I31" s="431">
        <f>V9</f>
        <v>2940.1253463325811</v>
      </c>
      <c r="J31" s="263"/>
      <c r="K31" s="264"/>
      <c r="L31" s="238"/>
      <c r="M31" s="238"/>
      <c r="N31" s="238"/>
      <c r="O31" s="263"/>
      <c r="P31" s="238"/>
      <c r="Q31" s="286"/>
      <c r="R31" s="346" t="s">
        <v>390</v>
      </c>
      <c r="S31" s="494" t="str">
        <f>IFERROR(IF(S26-S$23&gt;0,S26-S$23,"N/A"),"N/A")</f>
        <v>N/A</v>
      </c>
      <c r="T31" s="500"/>
      <c r="U31" s="496"/>
      <c r="V31" s="496"/>
      <c r="W31" s="501" t="str">
        <f>IF(AND(S31&lt;&gt;"N/A",S31&gt;=$W$33),R31,"Bednets")</f>
        <v>Bednets</v>
      </c>
      <c r="Y31" s="246"/>
      <c r="Z31" s="246"/>
      <c r="AA31" s="246"/>
      <c r="AB31" s="246"/>
      <c r="AC31" s="246"/>
      <c r="AD31" s="246"/>
      <c r="AE31" s="246"/>
      <c r="AF31" s="246"/>
      <c r="AG31" s="246"/>
      <c r="AH31" s="246"/>
      <c r="AI31" s="246"/>
      <c r="AJ31" s="246"/>
      <c r="AK31" s="246"/>
      <c r="AL31" s="246"/>
      <c r="AM31" s="246"/>
      <c r="AN31" s="246"/>
      <c r="AO31" s="246"/>
      <c r="AP31" s="246"/>
      <c r="AQ31" s="246"/>
      <c r="AS31" s="232"/>
      <c r="AT31" s="278"/>
      <c r="AU31" s="278"/>
      <c r="AV31" s="278"/>
      <c r="AW31" s="278"/>
      <c r="AX31" s="232"/>
      <c r="AY31" s="279"/>
      <c r="AZ31" s="232"/>
      <c r="BA31" s="232"/>
    </row>
    <row r="32" spans="1:54" ht="13.5" customHeight="1" x14ac:dyDescent="0.2">
      <c r="A32" s="246"/>
      <c r="B32" s="246"/>
      <c r="C32" s="246"/>
      <c r="D32" s="246"/>
      <c r="E32" s="238"/>
      <c r="F32" s="618"/>
      <c r="G32" s="261" t="s">
        <v>560</v>
      </c>
      <c r="H32" s="262"/>
      <c r="I32" s="431">
        <f>V10</f>
        <v>4158.7160719397643</v>
      </c>
      <c r="J32" s="263"/>
      <c r="K32" s="264"/>
      <c r="L32" s="263"/>
      <c r="M32" s="263"/>
      <c r="N32" s="263"/>
      <c r="O32" s="263"/>
      <c r="P32" s="238"/>
      <c r="Q32" s="286"/>
      <c r="R32" s="352"/>
      <c r="S32" s="353"/>
      <c r="T32" s="353"/>
      <c r="U32" s="353"/>
      <c r="V32" s="353"/>
      <c r="W32" s="354"/>
      <c r="Y32" s="246"/>
      <c r="Z32" s="246"/>
      <c r="AA32" s="246"/>
      <c r="AB32" s="246"/>
      <c r="AC32" s="246"/>
      <c r="AD32" s="246"/>
      <c r="AE32" s="246"/>
      <c r="AF32" s="246"/>
      <c r="AG32" s="246"/>
      <c r="AH32" s="246"/>
      <c r="AI32" s="246"/>
      <c r="AJ32" s="246"/>
      <c r="AK32" s="246"/>
      <c r="AL32" s="246"/>
      <c r="AM32" s="246"/>
      <c r="AN32" s="246"/>
      <c r="AO32" s="246"/>
      <c r="AP32" s="246"/>
      <c r="AQ32" s="246"/>
      <c r="AS32" s="232"/>
      <c r="AT32" s="278"/>
      <c r="AU32" s="278"/>
      <c r="AV32" s="278"/>
      <c r="AW32" s="278"/>
      <c r="AX32" s="232"/>
      <c r="AY32" s="279"/>
      <c r="AZ32" s="232"/>
      <c r="BA32" s="232"/>
    </row>
    <row r="33" spans="1:53" ht="13.75" customHeight="1" thickBot="1" x14ac:dyDescent="0.25">
      <c r="A33" s="246"/>
      <c r="B33" s="246"/>
      <c r="C33" s="246"/>
      <c r="D33" s="246"/>
      <c r="E33" s="246"/>
      <c r="F33" s="618"/>
      <c r="G33" s="261" t="s">
        <v>566</v>
      </c>
      <c r="H33" s="262"/>
      <c r="I33" s="431">
        <f>V11</f>
        <v>1837.6656272262778</v>
      </c>
      <c r="J33" s="238"/>
      <c r="K33" s="244"/>
      <c r="L33" s="238"/>
      <c r="M33" s="238"/>
      <c r="N33" s="238"/>
      <c r="O33" s="238"/>
      <c r="P33" s="246"/>
      <c r="Q33" s="286"/>
      <c r="R33" s="642" t="s">
        <v>248</v>
      </c>
      <c r="S33" s="643"/>
      <c r="T33" s="643"/>
      <c r="U33" s="643"/>
      <c r="V33" s="643"/>
      <c r="W33" s="502">
        <f>$G$10*U37</f>
        <v>109.57500000000002</v>
      </c>
      <c r="X33" s="286"/>
      <c r="Y33" s="286"/>
      <c r="Z33" s="246"/>
      <c r="AA33" s="246"/>
      <c r="AB33" s="246"/>
      <c r="AC33" s="246"/>
      <c r="AD33" s="246"/>
      <c r="AE33" s="246"/>
      <c r="AF33" s="246"/>
      <c r="AG33" s="246"/>
      <c r="AH33" s="246"/>
      <c r="AI33" s="246"/>
      <c r="AJ33" s="246"/>
      <c r="AK33" s="246"/>
      <c r="AL33" s="246"/>
      <c r="AM33" s="246"/>
      <c r="AN33" s="246"/>
      <c r="AO33" s="246"/>
      <c r="AP33" s="246"/>
      <c r="AQ33" s="246"/>
      <c r="AS33" s="232" t="str">
        <f>IF(AS30&lt;$D$14,AS30+1,"")</f>
        <v/>
      </c>
      <c r="AT33" s="278">
        <f>IF(ISNUMBER(AS33),AW30,0)</f>
        <v>0</v>
      </c>
      <c r="AU33" s="278"/>
      <c r="AV33" s="278">
        <f t="shared" si="2"/>
        <v>0</v>
      </c>
      <c r="AW33" s="278">
        <f t="shared" si="6"/>
        <v>0</v>
      </c>
      <c r="AX33" s="232">
        <f>IF(ISNUMBER(AS35),SUM(AU33:AV33),SUM(AU33:AW33))</f>
        <v>0</v>
      </c>
      <c r="AY33" s="279">
        <f>LN(AX33+$J$37)-LN($J$37)</f>
        <v>0</v>
      </c>
      <c r="AZ33" s="232">
        <f t="shared" si="4"/>
        <v>0</v>
      </c>
    </row>
    <row r="34" spans="1:53" ht="13.75" customHeight="1" thickBot="1" x14ac:dyDescent="0.25">
      <c r="A34" s="246"/>
      <c r="B34" s="246"/>
      <c r="C34" s="246"/>
      <c r="D34" s="246"/>
      <c r="E34" s="246"/>
      <c r="F34" s="641"/>
      <c r="G34" s="289" t="s">
        <v>390</v>
      </c>
      <c r="H34" s="290"/>
      <c r="I34" s="432" t="str">
        <f>V12</f>
        <v>-</v>
      </c>
      <c r="J34" s="239"/>
      <c r="K34" s="325"/>
      <c r="L34" s="238"/>
      <c r="M34" s="238"/>
      <c r="N34" s="238"/>
      <c r="O34" s="238"/>
      <c r="P34" s="246"/>
      <c r="Q34" s="286"/>
      <c r="R34" s="378"/>
      <c r="S34" s="378"/>
      <c r="T34" s="378"/>
      <c r="U34" s="378"/>
      <c r="V34" s="378"/>
      <c r="W34" s="287"/>
      <c r="X34" s="287"/>
      <c r="Y34" s="286"/>
      <c r="Z34" s="246"/>
      <c r="AA34" s="246"/>
      <c r="AB34" s="246"/>
      <c r="AC34" s="246"/>
      <c r="AD34" s="246"/>
      <c r="AE34" s="246"/>
      <c r="AF34" s="246"/>
      <c r="AG34" s="246"/>
      <c r="AH34" s="246"/>
      <c r="AI34" s="246"/>
      <c r="AJ34" s="246"/>
      <c r="AK34" s="246"/>
      <c r="AL34" s="246"/>
      <c r="AM34" s="246"/>
      <c r="AN34" s="246"/>
      <c r="AO34" s="246"/>
      <c r="AP34" s="246"/>
      <c r="AQ34" s="246"/>
      <c r="AS34" s="232"/>
      <c r="AT34" s="278"/>
      <c r="AU34" s="278"/>
      <c r="AV34" s="278"/>
      <c r="AW34" s="278"/>
      <c r="AX34" s="232"/>
      <c r="AY34" s="279"/>
      <c r="AZ34" s="232"/>
    </row>
    <row r="35" spans="1:53" ht="51" customHeight="1" thickBot="1" x14ac:dyDescent="0.25">
      <c r="B35" s="246"/>
      <c r="C35" s="246"/>
      <c r="D35" s="246"/>
      <c r="E35" s="246"/>
      <c r="F35" s="246"/>
      <c r="G35" s="246"/>
      <c r="H35" s="246"/>
      <c r="I35" s="309"/>
      <c r="J35" s="309"/>
      <c r="K35" s="246"/>
      <c r="L35" s="246"/>
      <c r="M35" s="246"/>
      <c r="N35" s="246"/>
      <c r="O35" s="246"/>
      <c r="P35" s="246"/>
      <c r="Q35" s="286"/>
      <c r="R35" s="286"/>
      <c r="S35" s="286"/>
      <c r="T35" s="286"/>
      <c r="U35" s="286"/>
      <c r="W35" s="246"/>
      <c r="Y35" s="286"/>
      <c r="Z35" s="246"/>
      <c r="AA35" s="246"/>
      <c r="AB35" s="246"/>
      <c r="AC35" s="246"/>
      <c r="AD35" s="246"/>
      <c r="AE35" s="246"/>
      <c r="AF35" s="246"/>
      <c r="AG35" s="246"/>
      <c r="AH35" s="246"/>
      <c r="AI35" s="246"/>
      <c r="AJ35" s="246"/>
      <c r="AK35" s="246"/>
      <c r="AL35" s="246"/>
      <c r="AM35" s="246"/>
      <c r="AN35" s="246"/>
      <c r="AR35" s="232"/>
      <c r="AS35" s="232" t="str">
        <f>IF(AS33&lt;$D$14,AS33+1,"")</f>
        <v/>
      </c>
      <c r="AT35" s="278">
        <f>IF(ISNUMBER(AS35),AW33,0)</f>
        <v>0</v>
      </c>
      <c r="AU35" s="278"/>
      <c r="AV35" s="278">
        <f t="shared" si="2"/>
        <v>0</v>
      </c>
      <c r="AW35" s="278">
        <f t="shared" si="6"/>
        <v>0</v>
      </c>
      <c r="AX35" s="232">
        <f t="shared" si="7"/>
        <v>0</v>
      </c>
      <c r="AY35" s="279">
        <f>LN(AX35+$J$37)-LN($J$37)</f>
        <v>0</v>
      </c>
      <c r="AZ35" s="232">
        <f t="shared" si="4"/>
        <v>0</v>
      </c>
    </row>
    <row r="36" spans="1:53" ht="31.5" customHeight="1" x14ac:dyDescent="0.2">
      <c r="A36" s="246"/>
      <c r="B36" s="644" t="s">
        <v>557</v>
      </c>
      <c r="C36" s="248"/>
      <c r="D36" s="647" t="s">
        <v>552</v>
      </c>
      <c r="E36" s="648"/>
      <c r="F36" s="649"/>
      <c r="G36" s="250" t="s">
        <v>544</v>
      </c>
      <c r="H36" s="647" t="s">
        <v>555</v>
      </c>
      <c r="I36" s="649"/>
      <c r="J36" s="647" t="s">
        <v>554</v>
      </c>
      <c r="K36" s="648"/>
      <c r="L36" s="648"/>
      <c r="M36" s="648"/>
      <c r="N36" s="649"/>
      <c r="O36" s="647" t="s">
        <v>545</v>
      </c>
      <c r="P36" s="649"/>
      <c r="Q36" s="470" t="s">
        <v>546</v>
      </c>
      <c r="R36" s="281" t="s">
        <v>441</v>
      </c>
      <c r="S36" s="466" t="s">
        <v>553</v>
      </c>
      <c r="T36" s="467"/>
      <c r="U36" s="281" t="s">
        <v>435</v>
      </c>
      <c r="V36" s="281" t="s">
        <v>401</v>
      </c>
      <c r="W36" s="283" t="s">
        <v>404</v>
      </c>
      <c r="X36" s="212"/>
      <c r="Y36" s="246"/>
      <c r="Z36" s="246"/>
      <c r="AA36" s="246"/>
      <c r="AB36" s="246"/>
      <c r="AC36" s="246"/>
      <c r="AD36" s="246"/>
      <c r="AE36" s="246"/>
      <c r="AF36" s="246"/>
      <c r="AG36" s="246"/>
      <c r="AH36" s="246"/>
      <c r="AI36" s="246"/>
      <c r="AJ36" s="246"/>
      <c r="AK36" s="246"/>
      <c r="AL36" s="246"/>
      <c r="AM36" s="246"/>
      <c r="AN36" s="246"/>
      <c r="AR36" s="232"/>
      <c r="AS36" s="232" t="str">
        <f t="shared" si="1"/>
        <v/>
      </c>
      <c r="AT36" s="278">
        <f t="shared" si="5"/>
        <v>0</v>
      </c>
      <c r="AU36" s="278"/>
      <c r="AV36" s="278">
        <f t="shared" si="2"/>
        <v>0</v>
      </c>
      <c r="AW36" s="278">
        <f t="shared" si="6"/>
        <v>0</v>
      </c>
      <c r="AX36" s="232">
        <f t="shared" si="7"/>
        <v>0</v>
      </c>
      <c r="AY36" s="279">
        <f>LN(AX36+$J$37)-LN($J$37)</f>
        <v>0</v>
      </c>
      <c r="AZ36" s="232">
        <f t="shared" si="4"/>
        <v>0</v>
      </c>
      <c r="BA36" s="232"/>
    </row>
    <row r="37" spans="1:53" ht="12" customHeight="1" x14ac:dyDescent="0.2">
      <c r="A37" s="246"/>
      <c r="B37" s="645"/>
      <c r="C37" s="251" t="s">
        <v>548</v>
      </c>
      <c r="D37" s="650">
        <f>Parameters!$D$29</f>
        <v>0.26900000000000002</v>
      </c>
      <c r="E37" s="651"/>
      <c r="F37" s="652"/>
      <c r="G37" s="255">
        <f>Parameters!$D$30</f>
        <v>2.41</v>
      </c>
      <c r="H37" s="653">
        <f>Parameters!$D$61</f>
        <v>4.7</v>
      </c>
      <c r="I37" s="654"/>
      <c r="J37" s="629">
        <f>Parameters!$D$58</f>
        <v>285.92228810603416</v>
      </c>
      <c r="K37" s="630"/>
      <c r="L37" s="630"/>
      <c r="M37" s="630"/>
      <c r="N37" s="631"/>
      <c r="O37" s="632">
        <f>Parameters!$D$59</f>
        <v>1000</v>
      </c>
      <c r="P37" s="633"/>
      <c r="Q37" s="280">
        <f>Parameters!$D$60</f>
        <v>212.7659574468085</v>
      </c>
      <c r="R37" s="282">
        <f>Parameters!$D$49</f>
        <v>2838.2630576673801</v>
      </c>
      <c r="S37" s="282">
        <f>Parameters!$D$50</f>
        <v>3.6112369528824271</v>
      </c>
      <c r="T37" s="464"/>
      <c r="U37" s="340">
        <f>Parameters!$D$11</f>
        <v>36.525000000000006</v>
      </c>
      <c r="V37" s="328">
        <f>Parameters!$D$45</f>
        <v>15</v>
      </c>
      <c r="W37" s="320">
        <f>Parameters!$D$46</f>
        <v>0.43099999999999999</v>
      </c>
      <c r="X37" s="316"/>
      <c r="Y37" s="246"/>
      <c r="Z37" s="238"/>
      <c r="AA37" s="246"/>
      <c r="AB37" s="246"/>
      <c r="AC37" s="246"/>
      <c r="AD37" s="246"/>
      <c r="AE37" s="246"/>
      <c r="AF37" s="246"/>
      <c r="AG37" s="246"/>
      <c r="AH37" s="246"/>
      <c r="AI37" s="246"/>
      <c r="AJ37" s="246"/>
      <c r="AK37" s="246"/>
      <c r="AL37" s="246"/>
      <c r="AM37" s="246"/>
      <c r="AN37" s="246"/>
      <c r="AO37" s="246"/>
      <c r="AS37" s="232" t="str">
        <f t="shared" si="1"/>
        <v/>
      </c>
      <c r="AT37" s="278">
        <f t="shared" si="5"/>
        <v>0</v>
      </c>
      <c r="AU37" s="278"/>
      <c r="AV37" s="278">
        <f t="shared" si="2"/>
        <v>0</v>
      </c>
      <c r="AW37" s="278">
        <f t="shared" si="6"/>
        <v>0</v>
      </c>
      <c r="AX37" s="232">
        <f t="shared" si="7"/>
        <v>0</v>
      </c>
      <c r="AY37" s="279">
        <f>LN(AX37+$J$37)-LN($J$37)</f>
        <v>0</v>
      </c>
      <c r="AZ37" s="232">
        <f t="shared" si="4"/>
        <v>0</v>
      </c>
      <c r="BA37" s="232"/>
    </row>
    <row r="38" spans="1:53" ht="12" customHeight="1" thickBot="1" x14ac:dyDescent="0.25">
      <c r="A38" s="246"/>
      <c r="B38" s="646"/>
      <c r="C38" s="252" t="s">
        <v>549</v>
      </c>
      <c r="D38" s="634" t="s">
        <v>218</v>
      </c>
      <c r="E38" s="635"/>
      <c r="F38" s="635"/>
      <c r="G38" s="636"/>
      <c r="H38" s="392" t="s">
        <v>551</v>
      </c>
      <c r="I38" s="393"/>
      <c r="J38" s="393"/>
      <c r="K38" s="393"/>
      <c r="L38" s="393"/>
      <c r="M38" s="393"/>
      <c r="N38" s="393"/>
      <c r="O38" s="393"/>
      <c r="P38" s="393"/>
      <c r="Q38" s="394"/>
      <c r="R38" s="634" t="s">
        <v>131</v>
      </c>
      <c r="S38" s="635"/>
      <c r="T38" s="636"/>
      <c r="U38" s="329" t="s">
        <v>253</v>
      </c>
      <c r="V38" s="330" t="s">
        <v>402</v>
      </c>
      <c r="W38" s="331" t="s">
        <v>349</v>
      </c>
      <c r="X38" s="429"/>
      <c r="Y38" s="246"/>
      <c r="Z38" s="238"/>
      <c r="AA38" s="246"/>
      <c r="AB38" s="246"/>
      <c r="AC38" s="246"/>
      <c r="AD38" s="246"/>
      <c r="AE38" s="246"/>
      <c r="AF38" s="246"/>
      <c r="AG38" s="246"/>
      <c r="AH38" s="246"/>
      <c r="AI38" s="246"/>
      <c r="AJ38" s="246"/>
      <c r="AK38" s="246"/>
      <c r="AL38" s="246"/>
      <c r="AM38" s="246"/>
      <c r="AN38" s="246"/>
      <c r="AO38" s="246"/>
      <c r="AP38" s="246"/>
      <c r="AQ38" s="246"/>
      <c r="AS38" s="232" t="str">
        <f t="shared" si="1"/>
        <v/>
      </c>
      <c r="AT38" s="278">
        <f t="shared" si="5"/>
        <v>0</v>
      </c>
      <c r="AU38" s="278"/>
      <c r="AV38" s="278">
        <f t="shared" si="2"/>
        <v>0</v>
      </c>
      <c r="AW38" s="278">
        <f t="shared" si="6"/>
        <v>0</v>
      </c>
      <c r="AX38" s="232">
        <f t="shared" si="7"/>
        <v>0</v>
      </c>
      <c r="AY38" s="279">
        <f>LN(AX38+$J$37)-LN($J$37)</f>
        <v>0</v>
      </c>
      <c r="AZ38" s="232">
        <f t="shared" si="4"/>
        <v>0</v>
      </c>
      <c r="BA38" s="232"/>
    </row>
    <row r="39" spans="1:53" s="246" customFormat="1" ht="15" x14ac:dyDescent="0.2">
      <c r="J39" s="309"/>
      <c r="K39" s="309"/>
      <c r="L39" s="309"/>
      <c r="M39" s="309"/>
      <c r="Z39" s="238"/>
      <c r="AS39" s="288" t="str">
        <f t="shared" si="1"/>
        <v/>
      </c>
      <c r="AT39" s="326">
        <f t="shared" si="5"/>
        <v>0</v>
      </c>
      <c r="AU39" s="326"/>
      <c r="AV39" s="326">
        <f t="shared" si="2"/>
        <v>0</v>
      </c>
      <c r="AW39" s="326">
        <f t="shared" si="6"/>
        <v>0</v>
      </c>
      <c r="AX39" s="288">
        <f t="shared" si="7"/>
        <v>0</v>
      </c>
      <c r="AY39" s="327">
        <f t="shared" ref="AY39:AY102" si="8">LN(AX39+$J$37)-LN($J$37)</f>
        <v>0</v>
      </c>
      <c r="AZ39" s="288">
        <f t="shared" si="4"/>
        <v>0</v>
      </c>
      <c r="BA39" s="288"/>
    </row>
    <row r="40" spans="1:53" s="246" customFormat="1" ht="15" x14ac:dyDescent="0.2">
      <c r="R40" s="309"/>
      <c r="AS40" s="288" t="str">
        <f t="shared" si="1"/>
        <v/>
      </c>
      <c r="AT40" s="326">
        <f t="shared" si="5"/>
        <v>0</v>
      </c>
      <c r="AU40" s="326"/>
      <c r="AV40" s="326">
        <f t="shared" si="2"/>
        <v>0</v>
      </c>
      <c r="AW40" s="326">
        <f t="shared" si="6"/>
        <v>0</v>
      </c>
      <c r="AX40" s="288">
        <f t="shared" si="7"/>
        <v>0</v>
      </c>
      <c r="AY40" s="327">
        <f t="shared" si="8"/>
        <v>0</v>
      </c>
      <c r="AZ40" s="288">
        <f t="shared" si="4"/>
        <v>0</v>
      </c>
      <c r="BA40" s="288"/>
    </row>
    <row r="41" spans="1:53" s="246" customFormat="1" ht="15" x14ac:dyDescent="0.2">
      <c r="R41" s="309"/>
      <c r="AS41" s="288" t="str">
        <f t="shared" si="1"/>
        <v/>
      </c>
      <c r="AT41" s="326">
        <f t="shared" si="5"/>
        <v>0</v>
      </c>
      <c r="AU41" s="326"/>
      <c r="AV41" s="326">
        <f t="shared" si="2"/>
        <v>0</v>
      </c>
      <c r="AW41" s="326">
        <f t="shared" si="6"/>
        <v>0</v>
      </c>
      <c r="AX41" s="288">
        <f t="shared" si="7"/>
        <v>0</v>
      </c>
      <c r="AY41" s="327">
        <f t="shared" si="8"/>
        <v>0</v>
      </c>
      <c r="AZ41" s="288">
        <f t="shared" si="4"/>
        <v>0</v>
      </c>
      <c r="BA41" s="288"/>
    </row>
    <row r="42" spans="1:53" s="246" customFormat="1" ht="15" x14ac:dyDescent="0.2">
      <c r="R42" s="309"/>
      <c r="S42" s="410"/>
      <c r="AS42" s="288" t="str">
        <f t="shared" si="1"/>
        <v/>
      </c>
      <c r="AT42" s="326">
        <f t="shared" si="5"/>
        <v>0</v>
      </c>
      <c r="AU42" s="326"/>
      <c r="AV42" s="326">
        <f t="shared" si="2"/>
        <v>0</v>
      </c>
      <c r="AW42" s="326">
        <f t="shared" si="6"/>
        <v>0</v>
      </c>
      <c r="AX42" s="288">
        <f t="shared" si="7"/>
        <v>0</v>
      </c>
      <c r="AY42" s="327">
        <f t="shared" si="8"/>
        <v>0</v>
      </c>
      <c r="AZ42" s="288">
        <f t="shared" si="4"/>
        <v>0</v>
      </c>
      <c r="BA42" s="288"/>
    </row>
    <row r="43" spans="1:53" s="246" customFormat="1" ht="15" x14ac:dyDescent="0.2">
      <c r="R43" s="412"/>
      <c r="S43" s="387"/>
      <c r="AS43" s="288" t="str">
        <f t="shared" si="1"/>
        <v/>
      </c>
      <c r="AT43" s="326">
        <f t="shared" si="5"/>
        <v>0</v>
      </c>
      <c r="AU43" s="326"/>
      <c r="AV43" s="326">
        <f t="shared" si="2"/>
        <v>0</v>
      </c>
      <c r="AW43" s="326">
        <f t="shared" si="6"/>
        <v>0</v>
      </c>
      <c r="AX43" s="288">
        <f t="shared" si="7"/>
        <v>0</v>
      </c>
      <c r="AY43" s="327">
        <f t="shared" si="8"/>
        <v>0</v>
      </c>
      <c r="AZ43" s="288">
        <f t="shared" si="4"/>
        <v>0</v>
      </c>
      <c r="BA43" s="288"/>
    </row>
    <row r="44" spans="1:53" s="246" customFormat="1" ht="15" x14ac:dyDescent="0.2">
      <c r="S44" s="387"/>
      <c r="AS44" s="288" t="str">
        <f t="shared" si="1"/>
        <v/>
      </c>
      <c r="AT44" s="326">
        <f t="shared" si="5"/>
        <v>0</v>
      </c>
      <c r="AU44" s="326"/>
      <c r="AV44" s="326">
        <f t="shared" si="2"/>
        <v>0</v>
      </c>
      <c r="AW44" s="326">
        <f t="shared" si="6"/>
        <v>0</v>
      </c>
      <c r="AX44" s="288">
        <f t="shared" si="7"/>
        <v>0</v>
      </c>
      <c r="AY44" s="327">
        <f t="shared" si="8"/>
        <v>0</v>
      </c>
      <c r="AZ44" s="288">
        <f t="shared" si="4"/>
        <v>0</v>
      </c>
      <c r="BA44" s="288"/>
    </row>
    <row r="45" spans="1:53" s="246" customFormat="1" ht="15" x14ac:dyDescent="0.2">
      <c r="S45" s="387"/>
      <c r="AS45" s="288" t="str">
        <f t="shared" si="1"/>
        <v/>
      </c>
      <c r="AT45" s="326">
        <f t="shared" si="5"/>
        <v>0</v>
      </c>
      <c r="AU45" s="326"/>
      <c r="AV45" s="326">
        <f t="shared" si="2"/>
        <v>0</v>
      </c>
      <c r="AW45" s="326">
        <f t="shared" si="6"/>
        <v>0</v>
      </c>
      <c r="AX45" s="288">
        <f t="shared" si="7"/>
        <v>0</v>
      </c>
      <c r="AY45" s="327">
        <f t="shared" si="8"/>
        <v>0</v>
      </c>
      <c r="AZ45" s="288">
        <f t="shared" si="4"/>
        <v>0</v>
      </c>
      <c r="BA45" s="288"/>
    </row>
    <row r="46" spans="1:53" s="246" customFormat="1" ht="15" x14ac:dyDescent="0.2">
      <c r="S46" s="387"/>
      <c r="AS46" s="288" t="str">
        <f t="shared" si="1"/>
        <v/>
      </c>
      <c r="AT46" s="326">
        <f t="shared" si="5"/>
        <v>0</v>
      </c>
      <c r="AU46" s="326"/>
      <c r="AV46" s="326">
        <f t="shared" si="2"/>
        <v>0</v>
      </c>
      <c r="AW46" s="326">
        <f t="shared" si="6"/>
        <v>0</v>
      </c>
      <c r="AX46" s="288">
        <f t="shared" si="7"/>
        <v>0</v>
      </c>
      <c r="AY46" s="327">
        <f t="shared" si="8"/>
        <v>0</v>
      </c>
      <c r="AZ46" s="288">
        <f t="shared" si="4"/>
        <v>0</v>
      </c>
      <c r="BA46" s="288"/>
    </row>
    <row r="47" spans="1:53" s="246" customFormat="1" ht="15" x14ac:dyDescent="0.2">
      <c r="S47" s="387"/>
      <c r="AS47" s="288" t="str">
        <f t="shared" si="1"/>
        <v/>
      </c>
      <c r="AT47" s="326">
        <f t="shared" si="5"/>
        <v>0</v>
      </c>
      <c r="AU47" s="326"/>
      <c r="AV47" s="326">
        <f t="shared" si="2"/>
        <v>0</v>
      </c>
      <c r="AW47" s="326">
        <f t="shared" si="6"/>
        <v>0</v>
      </c>
      <c r="AX47" s="288">
        <f t="shared" si="7"/>
        <v>0</v>
      </c>
      <c r="AY47" s="327">
        <f t="shared" si="8"/>
        <v>0</v>
      </c>
      <c r="AZ47" s="288">
        <f t="shared" si="4"/>
        <v>0</v>
      </c>
      <c r="BA47" s="288"/>
    </row>
    <row r="48" spans="1:53" s="246" customFormat="1" ht="15" x14ac:dyDescent="0.2">
      <c r="AS48" s="288" t="str">
        <f t="shared" si="1"/>
        <v/>
      </c>
      <c r="AT48" s="326">
        <f t="shared" si="5"/>
        <v>0</v>
      </c>
      <c r="AU48" s="326"/>
      <c r="AV48" s="326">
        <f t="shared" si="2"/>
        <v>0</v>
      </c>
      <c r="AW48" s="326">
        <f t="shared" si="6"/>
        <v>0</v>
      </c>
      <c r="AX48" s="288">
        <f t="shared" si="7"/>
        <v>0</v>
      </c>
      <c r="AY48" s="327">
        <f t="shared" si="8"/>
        <v>0</v>
      </c>
      <c r="AZ48" s="288">
        <f t="shared" si="4"/>
        <v>0</v>
      </c>
      <c r="BA48" s="288"/>
    </row>
    <row r="49" spans="45:53" s="246" customFormat="1" ht="15" x14ac:dyDescent="0.2">
      <c r="AS49" s="288" t="str">
        <f t="shared" si="1"/>
        <v/>
      </c>
      <c r="AT49" s="326">
        <f t="shared" si="5"/>
        <v>0</v>
      </c>
      <c r="AU49" s="326"/>
      <c r="AV49" s="326">
        <f t="shared" si="2"/>
        <v>0</v>
      </c>
      <c r="AW49" s="326">
        <f t="shared" si="6"/>
        <v>0</v>
      </c>
      <c r="AX49" s="288">
        <f t="shared" si="7"/>
        <v>0</v>
      </c>
      <c r="AY49" s="327">
        <f t="shared" si="8"/>
        <v>0</v>
      </c>
      <c r="AZ49" s="288">
        <f t="shared" si="4"/>
        <v>0</v>
      </c>
      <c r="BA49" s="288"/>
    </row>
    <row r="50" spans="45:53" s="246" customFormat="1" ht="15" x14ac:dyDescent="0.2">
      <c r="AS50" s="288" t="str">
        <f t="shared" si="1"/>
        <v/>
      </c>
      <c r="AT50" s="326">
        <f t="shared" si="5"/>
        <v>0</v>
      </c>
      <c r="AU50" s="326"/>
      <c r="AV50" s="326">
        <f t="shared" si="2"/>
        <v>0</v>
      </c>
      <c r="AW50" s="326">
        <f t="shared" si="6"/>
        <v>0</v>
      </c>
      <c r="AX50" s="288">
        <f t="shared" si="7"/>
        <v>0</v>
      </c>
      <c r="AY50" s="327">
        <f t="shared" si="8"/>
        <v>0</v>
      </c>
      <c r="AZ50" s="288">
        <f t="shared" si="4"/>
        <v>0</v>
      </c>
      <c r="BA50" s="288"/>
    </row>
    <row r="51" spans="45:53" s="246" customFormat="1" ht="15" x14ac:dyDescent="0.2">
      <c r="AS51" s="288" t="str">
        <f t="shared" si="1"/>
        <v/>
      </c>
      <c r="AT51" s="326">
        <f t="shared" si="5"/>
        <v>0</v>
      </c>
      <c r="AU51" s="326"/>
      <c r="AV51" s="326">
        <f t="shared" si="2"/>
        <v>0</v>
      </c>
      <c r="AW51" s="326">
        <f t="shared" si="6"/>
        <v>0</v>
      </c>
      <c r="AX51" s="288">
        <f t="shared" si="7"/>
        <v>0</v>
      </c>
      <c r="AY51" s="327">
        <f t="shared" si="8"/>
        <v>0</v>
      </c>
      <c r="AZ51" s="288">
        <f t="shared" si="4"/>
        <v>0</v>
      </c>
      <c r="BA51" s="288"/>
    </row>
    <row r="52" spans="45:53" s="246" customFormat="1" ht="15" x14ac:dyDescent="0.2">
      <c r="AS52" s="288" t="str">
        <f t="shared" si="1"/>
        <v/>
      </c>
      <c r="AT52" s="326">
        <f t="shared" si="5"/>
        <v>0</v>
      </c>
      <c r="AU52" s="326"/>
      <c r="AV52" s="326">
        <f t="shared" si="2"/>
        <v>0</v>
      </c>
      <c r="AW52" s="326">
        <f t="shared" si="6"/>
        <v>0</v>
      </c>
      <c r="AX52" s="288">
        <f t="shared" si="7"/>
        <v>0</v>
      </c>
      <c r="AY52" s="327">
        <f t="shared" si="8"/>
        <v>0</v>
      </c>
      <c r="AZ52" s="288">
        <f t="shared" si="4"/>
        <v>0</v>
      </c>
      <c r="BA52" s="288"/>
    </row>
    <row r="53" spans="45:53" s="246" customFormat="1" ht="15" x14ac:dyDescent="0.2">
      <c r="AS53" s="288" t="str">
        <f t="shared" si="1"/>
        <v/>
      </c>
      <c r="AT53" s="326">
        <f t="shared" si="5"/>
        <v>0</v>
      </c>
      <c r="AU53" s="326"/>
      <c r="AV53" s="326">
        <f t="shared" si="2"/>
        <v>0</v>
      </c>
      <c r="AW53" s="326">
        <f t="shared" si="6"/>
        <v>0</v>
      </c>
      <c r="AX53" s="288">
        <f t="shared" si="7"/>
        <v>0</v>
      </c>
      <c r="AY53" s="327">
        <f t="shared" si="8"/>
        <v>0</v>
      </c>
      <c r="AZ53" s="288">
        <f t="shared" si="4"/>
        <v>0</v>
      </c>
      <c r="BA53" s="288"/>
    </row>
    <row r="54" spans="45:53" s="246" customFormat="1" ht="15" x14ac:dyDescent="0.2">
      <c r="AS54" s="288" t="str">
        <f t="shared" si="1"/>
        <v/>
      </c>
      <c r="AT54" s="326">
        <f t="shared" si="5"/>
        <v>0</v>
      </c>
      <c r="AU54" s="326"/>
      <c r="AV54" s="326">
        <f t="shared" si="2"/>
        <v>0</v>
      </c>
      <c r="AW54" s="326">
        <f t="shared" si="6"/>
        <v>0</v>
      </c>
      <c r="AX54" s="288">
        <f t="shared" si="7"/>
        <v>0</v>
      </c>
      <c r="AY54" s="327">
        <f t="shared" si="8"/>
        <v>0</v>
      </c>
      <c r="AZ54" s="288">
        <f t="shared" si="4"/>
        <v>0</v>
      </c>
      <c r="BA54" s="288"/>
    </row>
    <row r="55" spans="45:53" s="246" customFormat="1" ht="15" x14ac:dyDescent="0.2">
      <c r="AS55" s="288" t="str">
        <f t="shared" si="1"/>
        <v/>
      </c>
      <c r="AT55" s="326">
        <f t="shared" si="5"/>
        <v>0</v>
      </c>
      <c r="AU55" s="326"/>
      <c r="AV55" s="326">
        <f t="shared" si="2"/>
        <v>0</v>
      </c>
      <c r="AW55" s="326">
        <f t="shared" si="6"/>
        <v>0</v>
      </c>
      <c r="AX55" s="288">
        <f t="shared" si="7"/>
        <v>0</v>
      </c>
      <c r="AY55" s="327">
        <f t="shared" si="8"/>
        <v>0</v>
      </c>
      <c r="AZ55" s="288">
        <f t="shared" si="4"/>
        <v>0</v>
      </c>
      <c r="BA55" s="288"/>
    </row>
    <row r="56" spans="45:53" s="246" customFormat="1" ht="15" x14ac:dyDescent="0.2">
      <c r="AS56" s="288" t="str">
        <f t="shared" si="1"/>
        <v/>
      </c>
      <c r="AT56" s="326">
        <f t="shared" si="5"/>
        <v>0</v>
      </c>
      <c r="AU56" s="326"/>
      <c r="AV56" s="326">
        <f t="shared" si="2"/>
        <v>0</v>
      </c>
      <c r="AW56" s="326">
        <f t="shared" si="6"/>
        <v>0</v>
      </c>
      <c r="AX56" s="288">
        <f t="shared" si="7"/>
        <v>0</v>
      </c>
      <c r="AY56" s="327">
        <f t="shared" si="8"/>
        <v>0</v>
      </c>
      <c r="AZ56" s="288">
        <f t="shared" si="4"/>
        <v>0</v>
      </c>
      <c r="BA56" s="288"/>
    </row>
    <row r="57" spans="45:53" s="246" customFormat="1" ht="15" x14ac:dyDescent="0.2">
      <c r="AS57" s="288" t="str">
        <f t="shared" si="1"/>
        <v/>
      </c>
      <c r="AT57" s="326">
        <f t="shared" si="5"/>
        <v>0</v>
      </c>
      <c r="AU57" s="326"/>
      <c r="AV57" s="326">
        <f t="shared" si="2"/>
        <v>0</v>
      </c>
      <c r="AW57" s="326">
        <f t="shared" si="6"/>
        <v>0</v>
      </c>
      <c r="AX57" s="288">
        <f t="shared" si="7"/>
        <v>0</v>
      </c>
      <c r="AY57" s="327">
        <f t="shared" si="8"/>
        <v>0</v>
      </c>
      <c r="AZ57" s="288">
        <f t="shared" si="4"/>
        <v>0</v>
      </c>
      <c r="BA57" s="288"/>
    </row>
    <row r="58" spans="45:53" s="246" customFormat="1" ht="15" x14ac:dyDescent="0.2">
      <c r="AS58" s="288" t="str">
        <f t="shared" si="1"/>
        <v/>
      </c>
      <c r="AT58" s="326">
        <f t="shared" si="5"/>
        <v>0</v>
      </c>
      <c r="AU58" s="326"/>
      <c r="AV58" s="326">
        <f t="shared" si="2"/>
        <v>0</v>
      </c>
      <c r="AW58" s="326">
        <f t="shared" si="6"/>
        <v>0</v>
      </c>
      <c r="AX58" s="288">
        <f t="shared" si="7"/>
        <v>0</v>
      </c>
      <c r="AY58" s="327">
        <f t="shared" si="8"/>
        <v>0</v>
      </c>
      <c r="AZ58" s="288">
        <f t="shared" si="4"/>
        <v>0</v>
      </c>
      <c r="BA58" s="288"/>
    </row>
    <row r="59" spans="45:53" s="246" customFormat="1" ht="15" x14ac:dyDescent="0.2">
      <c r="AS59" s="288" t="str">
        <f t="shared" si="1"/>
        <v/>
      </c>
      <c r="AT59" s="326">
        <f t="shared" si="5"/>
        <v>0</v>
      </c>
      <c r="AU59" s="326"/>
      <c r="AV59" s="326">
        <f t="shared" si="2"/>
        <v>0</v>
      </c>
      <c r="AW59" s="326">
        <f t="shared" si="6"/>
        <v>0</v>
      </c>
      <c r="AX59" s="288">
        <f t="shared" si="7"/>
        <v>0</v>
      </c>
      <c r="AY59" s="327">
        <f t="shared" si="8"/>
        <v>0</v>
      </c>
      <c r="AZ59" s="288">
        <f t="shared" si="4"/>
        <v>0</v>
      </c>
      <c r="BA59" s="288"/>
    </row>
    <row r="60" spans="45:53" s="246" customFormat="1" ht="15" x14ac:dyDescent="0.2">
      <c r="AS60" s="288" t="str">
        <f t="shared" si="1"/>
        <v/>
      </c>
      <c r="AT60" s="326">
        <f t="shared" si="5"/>
        <v>0</v>
      </c>
      <c r="AU60" s="326"/>
      <c r="AV60" s="326">
        <f t="shared" si="2"/>
        <v>0</v>
      </c>
      <c r="AW60" s="326">
        <f t="shared" si="6"/>
        <v>0</v>
      </c>
      <c r="AX60" s="288">
        <f t="shared" si="7"/>
        <v>0</v>
      </c>
      <c r="AY60" s="327">
        <f t="shared" si="8"/>
        <v>0</v>
      </c>
      <c r="AZ60" s="288">
        <f t="shared" si="4"/>
        <v>0</v>
      </c>
      <c r="BA60" s="288"/>
    </row>
    <row r="61" spans="45:53" s="246" customFormat="1" ht="15" x14ac:dyDescent="0.2">
      <c r="AS61" s="288" t="str">
        <f t="shared" si="1"/>
        <v/>
      </c>
      <c r="AT61" s="326">
        <f t="shared" si="5"/>
        <v>0</v>
      </c>
      <c r="AU61" s="326"/>
      <c r="AV61" s="326">
        <f t="shared" si="2"/>
        <v>0</v>
      </c>
      <c r="AW61" s="326">
        <f t="shared" si="6"/>
        <v>0</v>
      </c>
      <c r="AX61" s="288">
        <f t="shared" si="7"/>
        <v>0</v>
      </c>
      <c r="AY61" s="327">
        <f t="shared" si="8"/>
        <v>0</v>
      </c>
      <c r="AZ61" s="288">
        <f t="shared" si="4"/>
        <v>0</v>
      </c>
      <c r="BA61" s="288"/>
    </row>
    <row r="62" spans="45:53" s="246" customFormat="1" ht="15" x14ac:dyDescent="0.2">
      <c r="AS62" s="288" t="str">
        <f t="shared" si="1"/>
        <v/>
      </c>
      <c r="AT62" s="326">
        <f t="shared" si="5"/>
        <v>0</v>
      </c>
      <c r="AU62" s="326"/>
      <c r="AV62" s="326">
        <f t="shared" si="2"/>
        <v>0</v>
      </c>
      <c r="AW62" s="326">
        <f t="shared" si="6"/>
        <v>0</v>
      </c>
      <c r="AX62" s="288">
        <f t="shared" si="7"/>
        <v>0</v>
      </c>
      <c r="AY62" s="327">
        <f t="shared" si="8"/>
        <v>0</v>
      </c>
      <c r="AZ62" s="288">
        <f t="shared" si="4"/>
        <v>0</v>
      </c>
      <c r="BA62" s="288"/>
    </row>
    <row r="63" spans="45:53" s="246" customFormat="1" ht="15" x14ac:dyDescent="0.2">
      <c r="AS63" s="288" t="str">
        <f t="shared" si="1"/>
        <v/>
      </c>
      <c r="AT63" s="326">
        <f t="shared" si="5"/>
        <v>0</v>
      </c>
      <c r="AU63" s="326"/>
      <c r="AV63" s="326">
        <f t="shared" si="2"/>
        <v>0</v>
      </c>
      <c r="AW63" s="326">
        <f t="shared" si="6"/>
        <v>0</v>
      </c>
      <c r="AX63" s="288">
        <f t="shared" si="7"/>
        <v>0</v>
      </c>
      <c r="AY63" s="327">
        <f t="shared" si="8"/>
        <v>0</v>
      </c>
      <c r="AZ63" s="288">
        <f t="shared" si="4"/>
        <v>0</v>
      </c>
      <c r="BA63" s="288"/>
    </row>
    <row r="64" spans="45:53" s="246" customFormat="1" ht="15" x14ac:dyDescent="0.2">
      <c r="AS64" s="288" t="str">
        <f t="shared" si="1"/>
        <v/>
      </c>
      <c r="AT64" s="326">
        <f t="shared" si="5"/>
        <v>0</v>
      </c>
      <c r="AU64" s="326"/>
      <c r="AV64" s="326">
        <f t="shared" si="2"/>
        <v>0</v>
      </c>
      <c r="AW64" s="326">
        <f t="shared" si="6"/>
        <v>0</v>
      </c>
      <c r="AX64" s="288">
        <f t="shared" si="7"/>
        <v>0</v>
      </c>
      <c r="AY64" s="327">
        <f t="shared" si="8"/>
        <v>0</v>
      </c>
      <c r="AZ64" s="288">
        <f t="shared" si="4"/>
        <v>0</v>
      </c>
      <c r="BA64" s="288"/>
    </row>
    <row r="65" spans="45:53" s="246" customFormat="1" ht="15" x14ac:dyDescent="0.2">
      <c r="AS65" s="288" t="str">
        <f t="shared" si="1"/>
        <v/>
      </c>
      <c r="AT65" s="326">
        <f t="shared" si="5"/>
        <v>0</v>
      </c>
      <c r="AU65" s="326"/>
      <c r="AV65" s="326">
        <f t="shared" si="2"/>
        <v>0</v>
      </c>
      <c r="AW65" s="326">
        <f t="shared" si="6"/>
        <v>0</v>
      </c>
      <c r="AX65" s="288">
        <f t="shared" si="7"/>
        <v>0</v>
      </c>
      <c r="AY65" s="327">
        <f t="shared" si="8"/>
        <v>0</v>
      </c>
      <c r="AZ65" s="288">
        <f t="shared" si="4"/>
        <v>0</v>
      </c>
      <c r="BA65" s="288"/>
    </row>
    <row r="66" spans="45:53" s="246" customFormat="1" ht="15" x14ac:dyDescent="0.2">
      <c r="AS66" s="288" t="str">
        <f t="shared" si="1"/>
        <v/>
      </c>
      <c r="AT66" s="326">
        <f t="shared" si="5"/>
        <v>0</v>
      </c>
      <c r="AU66" s="326"/>
      <c r="AV66" s="326">
        <f t="shared" si="2"/>
        <v>0</v>
      </c>
      <c r="AW66" s="326">
        <f t="shared" si="6"/>
        <v>0</v>
      </c>
      <c r="AX66" s="288">
        <f t="shared" si="7"/>
        <v>0</v>
      </c>
      <c r="AY66" s="327">
        <f t="shared" si="8"/>
        <v>0</v>
      </c>
      <c r="AZ66" s="288">
        <f t="shared" si="4"/>
        <v>0</v>
      </c>
      <c r="BA66" s="288"/>
    </row>
    <row r="67" spans="45:53" s="246" customFormat="1" ht="15" x14ac:dyDescent="0.2">
      <c r="AS67" s="288" t="str">
        <f t="shared" si="1"/>
        <v/>
      </c>
      <c r="AT67" s="326">
        <f t="shared" si="5"/>
        <v>0</v>
      </c>
      <c r="AU67" s="326"/>
      <c r="AV67" s="326">
        <f t="shared" si="2"/>
        <v>0</v>
      </c>
      <c r="AW67" s="326">
        <f t="shared" si="6"/>
        <v>0</v>
      </c>
      <c r="AX67" s="288">
        <f t="shared" si="7"/>
        <v>0</v>
      </c>
      <c r="AY67" s="327">
        <f t="shared" si="8"/>
        <v>0</v>
      </c>
      <c r="AZ67" s="288">
        <f t="shared" si="4"/>
        <v>0</v>
      </c>
      <c r="BA67" s="288"/>
    </row>
    <row r="68" spans="45:53" s="246" customFormat="1" ht="15" x14ac:dyDescent="0.2">
      <c r="AS68" s="288" t="str">
        <f t="shared" si="1"/>
        <v/>
      </c>
      <c r="AT68" s="326">
        <f t="shared" si="5"/>
        <v>0</v>
      </c>
      <c r="AU68" s="326"/>
      <c r="AV68" s="326">
        <f t="shared" si="2"/>
        <v>0</v>
      </c>
      <c r="AW68" s="326">
        <f t="shared" si="6"/>
        <v>0</v>
      </c>
      <c r="AX68" s="288">
        <f t="shared" si="7"/>
        <v>0</v>
      </c>
      <c r="AY68" s="327">
        <f t="shared" si="8"/>
        <v>0</v>
      </c>
      <c r="AZ68" s="288">
        <f t="shared" si="4"/>
        <v>0</v>
      </c>
      <c r="BA68" s="288"/>
    </row>
    <row r="69" spans="45:53" s="246" customFormat="1" ht="15" x14ac:dyDescent="0.2">
      <c r="AS69" s="288" t="str">
        <f t="shared" ref="AS69:AS114" si="9">IF(AS68&lt;$D$14,AS68+1,"")</f>
        <v/>
      </c>
      <c r="AT69" s="326">
        <f t="shared" si="5"/>
        <v>0</v>
      </c>
      <c r="AU69" s="326"/>
      <c r="AV69" s="326">
        <f t="shared" si="2"/>
        <v>0</v>
      </c>
      <c r="AW69" s="326">
        <f t="shared" si="6"/>
        <v>0</v>
      </c>
      <c r="AX69" s="288">
        <f t="shared" si="7"/>
        <v>0</v>
      </c>
      <c r="AY69" s="327">
        <f t="shared" si="8"/>
        <v>0</v>
      </c>
      <c r="AZ69" s="288">
        <f t="shared" si="4"/>
        <v>0</v>
      </c>
      <c r="BA69" s="288"/>
    </row>
    <row r="70" spans="45:53" s="246" customFormat="1" ht="15" x14ac:dyDescent="0.2">
      <c r="AS70" s="288" t="str">
        <f t="shared" si="9"/>
        <v/>
      </c>
      <c r="AT70" s="326">
        <f t="shared" si="5"/>
        <v>0</v>
      </c>
      <c r="AU70" s="326"/>
      <c r="AV70" s="326">
        <f t="shared" si="2"/>
        <v>0</v>
      </c>
      <c r="AW70" s="326">
        <f t="shared" si="6"/>
        <v>0</v>
      </c>
      <c r="AX70" s="288">
        <f t="shared" si="7"/>
        <v>0</v>
      </c>
      <c r="AY70" s="327">
        <f t="shared" si="8"/>
        <v>0</v>
      </c>
      <c r="AZ70" s="288">
        <f t="shared" si="4"/>
        <v>0</v>
      </c>
      <c r="BA70" s="288"/>
    </row>
    <row r="71" spans="45:53" s="246" customFormat="1" ht="15" x14ac:dyDescent="0.2">
      <c r="AS71" s="288" t="str">
        <f t="shared" si="9"/>
        <v/>
      </c>
      <c r="AT71" s="326">
        <f t="shared" si="5"/>
        <v>0</v>
      </c>
      <c r="AU71" s="326"/>
      <c r="AV71" s="326">
        <f t="shared" si="2"/>
        <v>0</v>
      </c>
      <c r="AW71" s="326">
        <f t="shared" si="6"/>
        <v>0</v>
      </c>
      <c r="AX71" s="288">
        <f t="shared" si="7"/>
        <v>0</v>
      </c>
      <c r="AY71" s="327">
        <f t="shared" si="8"/>
        <v>0</v>
      </c>
      <c r="AZ71" s="288">
        <f t="shared" si="4"/>
        <v>0</v>
      </c>
      <c r="BA71" s="288"/>
    </row>
    <row r="72" spans="45:53" s="246" customFormat="1" ht="15" x14ac:dyDescent="0.2">
      <c r="AS72" s="288" t="str">
        <f t="shared" si="9"/>
        <v/>
      </c>
      <c r="AT72" s="326">
        <f t="shared" si="5"/>
        <v>0</v>
      </c>
      <c r="AU72" s="326"/>
      <c r="AV72" s="326">
        <f t="shared" ref="AV72:AV114" si="10">$D$10*AT72</f>
        <v>0</v>
      </c>
      <c r="AW72" s="326">
        <f t="shared" si="6"/>
        <v>0</v>
      </c>
      <c r="AX72" s="288">
        <f t="shared" si="7"/>
        <v>0</v>
      </c>
      <c r="AY72" s="327">
        <f t="shared" si="8"/>
        <v>0</v>
      </c>
      <c r="AZ72" s="288">
        <f t="shared" ref="AZ72:AZ114" si="11">IF(ISNUMBER(AS72),AY72/(1+$D$7)^AS72,0)</f>
        <v>0</v>
      </c>
      <c r="BA72" s="288"/>
    </row>
    <row r="73" spans="45:53" s="246" customFormat="1" ht="15" x14ac:dyDescent="0.2">
      <c r="AS73" s="288" t="str">
        <f t="shared" si="9"/>
        <v/>
      </c>
      <c r="AT73" s="326">
        <f t="shared" ref="AT73:AT114" si="12">IF(ISNUMBER(AS73),AW72,0)</f>
        <v>0</v>
      </c>
      <c r="AU73" s="326"/>
      <c r="AV73" s="326">
        <f t="shared" si="10"/>
        <v>0</v>
      </c>
      <c r="AW73" s="326">
        <f t="shared" ref="AW73:AW114" si="13">AT73</f>
        <v>0</v>
      </c>
      <c r="AX73" s="288">
        <f t="shared" si="7"/>
        <v>0</v>
      </c>
      <c r="AY73" s="327">
        <f t="shared" si="8"/>
        <v>0</v>
      </c>
      <c r="AZ73" s="288">
        <f t="shared" si="11"/>
        <v>0</v>
      </c>
      <c r="BA73" s="288"/>
    </row>
    <row r="74" spans="45:53" s="246" customFormat="1" ht="15" x14ac:dyDescent="0.2">
      <c r="AS74" s="288" t="str">
        <f t="shared" si="9"/>
        <v/>
      </c>
      <c r="AT74" s="326">
        <f t="shared" si="12"/>
        <v>0</v>
      </c>
      <c r="AU74" s="326"/>
      <c r="AV74" s="326">
        <f t="shared" si="10"/>
        <v>0</v>
      </c>
      <c r="AW74" s="326">
        <f t="shared" si="13"/>
        <v>0</v>
      </c>
      <c r="AX74" s="288">
        <f t="shared" si="7"/>
        <v>0</v>
      </c>
      <c r="AY74" s="327">
        <f t="shared" si="8"/>
        <v>0</v>
      </c>
      <c r="AZ74" s="288">
        <f t="shared" si="11"/>
        <v>0</v>
      </c>
      <c r="BA74" s="288"/>
    </row>
    <row r="75" spans="45:53" s="246" customFormat="1" ht="15" x14ac:dyDescent="0.2">
      <c r="AS75" s="288" t="str">
        <f t="shared" si="9"/>
        <v/>
      </c>
      <c r="AT75" s="326">
        <f t="shared" si="12"/>
        <v>0</v>
      </c>
      <c r="AU75" s="326"/>
      <c r="AV75" s="326">
        <f t="shared" si="10"/>
        <v>0</v>
      </c>
      <c r="AW75" s="326">
        <f t="shared" si="13"/>
        <v>0</v>
      </c>
      <c r="AX75" s="288">
        <f t="shared" si="7"/>
        <v>0</v>
      </c>
      <c r="AY75" s="327">
        <f t="shared" si="8"/>
        <v>0</v>
      </c>
      <c r="AZ75" s="288">
        <f t="shared" si="11"/>
        <v>0</v>
      </c>
      <c r="BA75" s="288"/>
    </row>
    <row r="76" spans="45:53" s="246" customFormat="1" ht="15" x14ac:dyDescent="0.2">
      <c r="AS76" s="288" t="str">
        <f t="shared" si="9"/>
        <v/>
      </c>
      <c r="AT76" s="326">
        <f t="shared" si="12"/>
        <v>0</v>
      </c>
      <c r="AU76" s="326"/>
      <c r="AV76" s="326">
        <f t="shared" si="10"/>
        <v>0</v>
      </c>
      <c r="AW76" s="326">
        <f t="shared" si="13"/>
        <v>0</v>
      </c>
      <c r="AX76" s="288">
        <f t="shared" si="7"/>
        <v>0</v>
      </c>
      <c r="AY76" s="327">
        <f t="shared" si="8"/>
        <v>0</v>
      </c>
      <c r="AZ76" s="288">
        <f t="shared" si="11"/>
        <v>0</v>
      </c>
      <c r="BA76" s="288"/>
    </row>
    <row r="77" spans="45:53" s="246" customFormat="1" ht="15" x14ac:dyDescent="0.2">
      <c r="AS77" s="288" t="str">
        <f t="shared" si="9"/>
        <v/>
      </c>
      <c r="AT77" s="326">
        <f t="shared" si="12"/>
        <v>0</v>
      </c>
      <c r="AU77" s="326"/>
      <c r="AV77" s="326">
        <f t="shared" si="10"/>
        <v>0</v>
      </c>
      <c r="AW77" s="326">
        <f t="shared" si="13"/>
        <v>0</v>
      </c>
      <c r="AX77" s="288">
        <f t="shared" si="7"/>
        <v>0</v>
      </c>
      <c r="AY77" s="327">
        <f t="shared" si="8"/>
        <v>0</v>
      </c>
      <c r="AZ77" s="288">
        <f t="shared" si="11"/>
        <v>0</v>
      </c>
      <c r="BA77" s="288"/>
    </row>
    <row r="78" spans="45:53" s="246" customFormat="1" ht="15" x14ac:dyDescent="0.2">
      <c r="AS78" s="288" t="str">
        <f t="shared" si="9"/>
        <v/>
      </c>
      <c r="AT78" s="326">
        <f t="shared" si="12"/>
        <v>0</v>
      </c>
      <c r="AU78" s="326"/>
      <c r="AV78" s="326">
        <f t="shared" si="10"/>
        <v>0</v>
      </c>
      <c r="AW78" s="326">
        <f t="shared" si="13"/>
        <v>0</v>
      </c>
      <c r="AX78" s="288">
        <f t="shared" si="7"/>
        <v>0</v>
      </c>
      <c r="AY78" s="327">
        <f t="shared" si="8"/>
        <v>0</v>
      </c>
      <c r="AZ78" s="288">
        <f t="shared" si="11"/>
        <v>0</v>
      </c>
      <c r="BA78" s="288"/>
    </row>
    <row r="79" spans="45:53" s="246" customFormat="1" ht="15" x14ac:dyDescent="0.2">
      <c r="AS79" s="288" t="str">
        <f t="shared" si="9"/>
        <v/>
      </c>
      <c r="AT79" s="326">
        <f t="shared" si="12"/>
        <v>0</v>
      </c>
      <c r="AU79" s="326"/>
      <c r="AV79" s="326">
        <f t="shared" si="10"/>
        <v>0</v>
      </c>
      <c r="AW79" s="326">
        <f t="shared" si="13"/>
        <v>0</v>
      </c>
      <c r="AX79" s="288">
        <f t="shared" si="7"/>
        <v>0</v>
      </c>
      <c r="AY79" s="327">
        <f t="shared" si="8"/>
        <v>0</v>
      </c>
      <c r="AZ79" s="288">
        <f t="shared" si="11"/>
        <v>0</v>
      </c>
      <c r="BA79" s="288"/>
    </row>
    <row r="80" spans="45:53" s="246" customFormat="1" ht="15" x14ac:dyDescent="0.2">
      <c r="AS80" s="288" t="str">
        <f t="shared" si="9"/>
        <v/>
      </c>
      <c r="AT80" s="326">
        <f t="shared" si="12"/>
        <v>0</v>
      </c>
      <c r="AU80" s="326"/>
      <c r="AV80" s="326">
        <f t="shared" si="10"/>
        <v>0</v>
      </c>
      <c r="AW80" s="326">
        <f t="shared" si="13"/>
        <v>0</v>
      </c>
      <c r="AX80" s="288">
        <f t="shared" si="7"/>
        <v>0</v>
      </c>
      <c r="AY80" s="327">
        <f t="shared" si="8"/>
        <v>0</v>
      </c>
      <c r="AZ80" s="288">
        <f t="shared" si="11"/>
        <v>0</v>
      </c>
      <c r="BA80" s="288"/>
    </row>
    <row r="81" spans="45:53" s="246" customFormat="1" ht="15" x14ac:dyDescent="0.2">
      <c r="AS81" s="288" t="str">
        <f t="shared" si="9"/>
        <v/>
      </c>
      <c r="AT81" s="326">
        <f t="shared" si="12"/>
        <v>0</v>
      </c>
      <c r="AU81" s="326"/>
      <c r="AV81" s="326">
        <f t="shared" si="10"/>
        <v>0</v>
      </c>
      <c r="AW81" s="326">
        <f t="shared" si="13"/>
        <v>0</v>
      </c>
      <c r="AX81" s="288">
        <f t="shared" si="7"/>
        <v>0</v>
      </c>
      <c r="AY81" s="327">
        <f t="shared" si="8"/>
        <v>0</v>
      </c>
      <c r="AZ81" s="288">
        <f t="shared" si="11"/>
        <v>0</v>
      </c>
      <c r="BA81" s="288"/>
    </row>
    <row r="82" spans="45:53" s="246" customFormat="1" ht="15" x14ac:dyDescent="0.2">
      <c r="AS82" s="288" t="str">
        <f t="shared" si="9"/>
        <v/>
      </c>
      <c r="AT82" s="326">
        <f t="shared" si="12"/>
        <v>0</v>
      </c>
      <c r="AU82" s="326"/>
      <c r="AV82" s="326">
        <f t="shared" si="10"/>
        <v>0</v>
      </c>
      <c r="AW82" s="326">
        <f t="shared" si="13"/>
        <v>0</v>
      </c>
      <c r="AX82" s="288">
        <f t="shared" ref="AX82:AX114" si="14">IF(ISNUMBER(AS83),SUM(AU82:AV82),SUM(AU82:AW82))</f>
        <v>0</v>
      </c>
      <c r="AY82" s="327">
        <f t="shared" si="8"/>
        <v>0</v>
      </c>
      <c r="AZ82" s="288">
        <f t="shared" si="11"/>
        <v>0</v>
      </c>
      <c r="BA82" s="288"/>
    </row>
    <row r="83" spans="45:53" s="246" customFormat="1" ht="15" x14ac:dyDescent="0.2">
      <c r="AS83" s="288" t="str">
        <f t="shared" si="9"/>
        <v/>
      </c>
      <c r="AT83" s="326">
        <f t="shared" si="12"/>
        <v>0</v>
      </c>
      <c r="AU83" s="326"/>
      <c r="AV83" s="326">
        <f t="shared" si="10"/>
        <v>0</v>
      </c>
      <c r="AW83" s="326">
        <f t="shared" si="13"/>
        <v>0</v>
      </c>
      <c r="AX83" s="288">
        <f t="shared" si="14"/>
        <v>0</v>
      </c>
      <c r="AY83" s="327">
        <f t="shared" si="8"/>
        <v>0</v>
      </c>
      <c r="AZ83" s="288">
        <f t="shared" si="11"/>
        <v>0</v>
      </c>
      <c r="BA83" s="288"/>
    </row>
    <row r="84" spans="45:53" s="246" customFormat="1" ht="15" x14ac:dyDescent="0.2">
      <c r="AS84" s="288" t="str">
        <f t="shared" si="9"/>
        <v/>
      </c>
      <c r="AT84" s="326">
        <f t="shared" si="12"/>
        <v>0</v>
      </c>
      <c r="AU84" s="326"/>
      <c r="AV84" s="326">
        <f t="shared" si="10"/>
        <v>0</v>
      </c>
      <c r="AW84" s="326">
        <f t="shared" si="13"/>
        <v>0</v>
      </c>
      <c r="AX84" s="288">
        <f t="shared" si="14"/>
        <v>0</v>
      </c>
      <c r="AY84" s="327">
        <f t="shared" si="8"/>
        <v>0</v>
      </c>
      <c r="AZ84" s="288">
        <f t="shared" si="11"/>
        <v>0</v>
      </c>
      <c r="BA84" s="288"/>
    </row>
    <row r="85" spans="45:53" s="246" customFormat="1" ht="15" x14ac:dyDescent="0.2">
      <c r="AS85" s="288" t="str">
        <f t="shared" si="9"/>
        <v/>
      </c>
      <c r="AT85" s="326">
        <f t="shared" si="12"/>
        <v>0</v>
      </c>
      <c r="AU85" s="326"/>
      <c r="AV85" s="326">
        <f t="shared" si="10"/>
        <v>0</v>
      </c>
      <c r="AW85" s="326">
        <f t="shared" si="13"/>
        <v>0</v>
      </c>
      <c r="AX85" s="288">
        <f t="shared" si="14"/>
        <v>0</v>
      </c>
      <c r="AY85" s="327">
        <f t="shared" si="8"/>
        <v>0</v>
      </c>
      <c r="AZ85" s="288">
        <f t="shared" si="11"/>
        <v>0</v>
      </c>
      <c r="BA85" s="288"/>
    </row>
    <row r="86" spans="45:53" s="246" customFormat="1" ht="15" x14ac:dyDescent="0.2">
      <c r="AS86" s="288" t="str">
        <f t="shared" si="9"/>
        <v/>
      </c>
      <c r="AT86" s="326">
        <f t="shared" si="12"/>
        <v>0</v>
      </c>
      <c r="AU86" s="326"/>
      <c r="AV86" s="326">
        <f t="shared" si="10"/>
        <v>0</v>
      </c>
      <c r="AW86" s="326">
        <f t="shared" si="13"/>
        <v>0</v>
      </c>
      <c r="AX86" s="288">
        <f t="shared" si="14"/>
        <v>0</v>
      </c>
      <c r="AY86" s="327">
        <f t="shared" si="8"/>
        <v>0</v>
      </c>
      <c r="AZ86" s="288">
        <f t="shared" si="11"/>
        <v>0</v>
      </c>
      <c r="BA86" s="288"/>
    </row>
    <row r="87" spans="45:53" s="246" customFormat="1" ht="15" x14ac:dyDescent="0.2">
      <c r="AS87" s="288" t="str">
        <f t="shared" si="9"/>
        <v/>
      </c>
      <c r="AT87" s="326">
        <f t="shared" si="12"/>
        <v>0</v>
      </c>
      <c r="AU87" s="326"/>
      <c r="AV87" s="326">
        <f t="shared" si="10"/>
        <v>0</v>
      </c>
      <c r="AW87" s="326">
        <f t="shared" si="13"/>
        <v>0</v>
      </c>
      <c r="AX87" s="288">
        <f t="shared" si="14"/>
        <v>0</v>
      </c>
      <c r="AY87" s="327">
        <f t="shared" si="8"/>
        <v>0</v>
      </c>
      <c r="AZ87" s="288">
        <f t="shared" si="11"/>
        <v>0</v>
      </c>
      <c r="BA87" s="288"/>
    </row>
    <row r="88" spans="45:53" s="246" customFormat="1" ht="15" x14ac:dyDescent="0.2">
      <c r="AS88" s="288" t="str">
        <f t="shared" si="9"/>
        <v/>
      </c>
      <c r="AT88" s="326">
        <f t="shared" si="12"/>
        <v>0</v>
      </c>
      <c r="AU88" s="326"/>
      <c r="AV88" s="326">
        <f t="shared" si="10"/>
        <v>0</v>
      </c>
      <c r="AW88" s="326">
        <f t="shared" si="13"/>
        <v>0</v>
      </c>
      <c r="AX88" s="288">
        <f t="shared" si="14"/>
        <v>0</v>
      </c>
      <c r="AY88" s="327">
        <f t="shared" si="8"/>
        <v>0</v>
      </c>
      <c r="AZ88" s="288">
        <f t="shared" si="11"/>
        <v>0</v>
      </c>
      <c r="BA88" s="288"/>
    </row>
    <row r="89" spans="45:53" s="246" customFormat="1" ht="15" x14ac:dyDescent="0.2">
      <c r="AS89" s="288" t="str">
        <f t="shared" si="9"/>
        <v/>
      </c>
      <c r="AT89" s="326">
        <f t="shared" si="12"/>
        <v>0</v>
      </c>
      <c r="AU89" s="326"/>
      <c r="AV89" s="326">
        <f t="shared" si="10"/>
        <v>0</v>
      </c>
      <c r="AW89" s="326">
        <f t="shared" si="13"/>
        <v>0</v>
      </c>
      <c r="AX89" s="288">
        <f t="shared" si="14"/>
        <v>0</v>
      </c>
      <c r="AY89" s="327">
        <f t="shared" si="8"/>
        <v>0</v>
      </c>
      <c r="AZ89" s="288">
        <f t="shared" si="11"/>
        <v>0</v>
      </c>
      <c r="BA89" s="288"/>
    </row>
    <row r="90" spans="45:53" s="246" customFormat="1" ht="15" x14ac:dyDescent="0.2">
      <c r="AS90" s="288" t="str">
        <f t="shared" si="9"/>
        <v/>
      </c>
      <c r="AT90" s="326">
        <f t="shared" si="12"/>
        <v>0</v>
      </c>
      <c r="AU90" s="326"/>
      <c r="AV90" s="326">
        <f t="shared" si="10"/>
        <v>0</v>
      </c>
      <c r="AW90" s="326">
        <f t="shared" si="13"/>
        <v>0</v>
      </c>
      <c r="AX90" s="288">
        <f t="shared" si="14"/>
        <v>0</v>
      </c>
      <c r="AY90" s="327">
        <f t="shared" si="8"/>
        <v>0</v>
      </c>
      <c r="AZ90" s="288">
        <f t="shared" si="11"/>
        <v>0</v>
      </c>
      <c r="BA90" s="288"/>
    </row>
    <row r="91" spans="45:53" s="246" customFormat="1" ht="15" x14ac:dyDescent="0.2">
      <c r="AS91" s="288" t="str">
        <f t="shared" si="9"/>
        <v/>
      </c>
      <c r="AT91" s="326">
        <f t="shared" si="12"/>
        <v>0</v>
      </c>
      <c r="AU91" s="326"/>
      <c r="AV91" s="326">
        <f t="shared" si="10"/>
        <v>0</v>
      </c>
      <c r="AW91" s="326">
        <f t="shared" si="13"/>
        <v>0</v>
      </c>
      <c r="AX91" s="288">
        <f t="shared" si="14"/>
        <v>0</v>
      </c>
      <c r="AY91" s="327">
        <f t="shared" si="8"/>
        <v>0</v>
      </c>
      <c r="AZ91" s="288">
        <f t="shared" si="11"/>
        <v>0</v>
      </c>
      <c r="BA91" s="288"/>
    </row>
    <row r="92" spans="45:53" s="246" customFormat="1" ht="15" x14ac:dyDescent="0.2">
      <c r="AS92" s="288" t="str">
        <f t="shared" si="9"/>
        <v/>
      </c>
      <c r="AT92" s="326">
        <f t="shared" si="12"/>
        <v>0</v>
      </c>
      <c r="AU92" s="326"/>
      <c r="AV92" s="326">
        <f t="shared" si="10"/>
        <v>0</v>
      </c>
      <c r="AW92" s="326">
        <f t="shared" si="13"/>
        <v>0</v>
      </c>
      <c r="AX92" s="288">
        <f t="shared" si="14"/>
        <v>0</v>
      </c>
      <c r="AY92" s="327">
        <f t="shared" si="8"/>
        <v>0</v>
      </c>
      <c r="AZ92" s="288">
        <f t="shared" si="11"/>
        <v>0</v>
      </c>
      <c r="BA92" s="288"/>
    </row>
    <row r="93" spans="45:53" s="246" customFormat="1" ht="15" x14ac:dyDescent="0.2">
      <c r="AS93" s="288" t="str">
        <f t="shared" si="9"/>
        <v/>
      </c>
      <c r="AT93" s="326">
        <f t="shared" si="12"/>
        <v>0</v>
      </c>
      <c r="AU93" s="326"/>
      <c r="AV93" s="326">
        <f t="shared" si="10"/>
        <v>0</v>
      </c>
      <c r="AW93" s="326">
        <f t="shared" si="13"/>
        <v>0</v>
      </c>
      <c r="AX93" s="288">
        <f t="shared" si="14"/>
        <v>0</v>
      </c>
      <c r="AY93" s="327">
        <f t="shared" si="8"/>
        <v>0</v>
      </c>
      <c r="AZ93" s="288">
        <f t="shared" si="11"/>
        <v>0</v>
      </c>
      <c r="BA93" s="288"/>
    </row>
    <row r="94" spans="45:53" s="246" customFormat="1" ht="15" x14ac:dyDescent="0.2">
      <c r="AS94" s="288" t="str">
        <f t="shared" si="9"/>
        <v/>
      </c>
      <c r="AT94" s="326">
        <f t="shared" si="12"/>
        <v>0</v>
      </c>
      <c r="AU94" s="326"/>
      <c r="AV94" s="326">
        <f t="shared" si="10"/>
        <v>0</v>
      </c>
      <c r="AW94" s="326">
        <f t="shared" si="13"/>
        <v>0</v>
      </c>
      <c r="AX94" s="288">
        <f t="shared" si="14"/>
        <v>0</v>
      </c>
      <c r="AY94" s="327">
        <f t="shared" si="8"/>
        <v>0</v>
      </c>
      <c r="AZ94" s="288">
        <f t="shared" si="11"/>
        <v>0</v>
      </c>
      <c r="BA94" s="288"/>
    </row>
    <row r="95" spans="45:53" s="246" customFormat="1" ht="15" x14ac:dyDescent="0.2">
      <c r="AS95" s="288" t="str">
        <f t="shared" si="9"/>
        <v/>
      </c>
      <c r="AT95" s="326">
        <f t="shared" si="12"/>
        <v>0</v>
      </c>
      <c r="AU95" s="326"/>
      <c r="AV95" s="326">
        <f t="shared" si="10"/>
        <v>0</v>
      </c>
      <c r="AW95" s="326">
        <f t="shared" si="13"/>
        <v>0</v>
      </c>
      <c r="AX95" s="288">
        <f t="shared" si="14"/>
        <v>0</v>
      </c>
      <c r="AY95" s="327">
        <f t="shared" si="8"/>
        <v>0</v>
      </c>
      <c r="AZ95" s="288">
        <f t="shared" si="11"/>
        <v>0</v>
      </c>
      <c r="BA95" s="288"/>
    </row>
    <row r="96" spans="45:53" s="246" customFormat="1" ht="15" x14ac:dyDescent="0.2">
      <c r="AS96" s="288" t="str">
        <f t="shared" si="9"/>
        <v/>
      </c>
      <c r="AT96" s="326">
        <f t="shared" si="12"/>
        <v>0</v>
      </c>
      <c r="AU96" s="326"/>
      <c r="AV96" s="326">
        <f t="shared" si="10"/>
        <v>0</v>
      </c>
      <c r="AW96" s="326">
        <f t="shared" si="13"/>
        <v>0</v>
      </c>
      <c r="AX96" s="288">
        <f t="shared" si="14"/>
        <v>0</v>
      </c>
      <c r="AY96" s="327">
        <f t="shared" si="8"/>
        <v>0</v>
      </c>
      <c r="AZ96" s="288">
        <f t="shared" si="11"/>
        <v>0</v>
      </c>
      <c r="BA96" s="288"/>
    </row>
    <row r="97" spans="45:53" s="246" customFormat="1" ht="15" x14ac:dyDescent="0.2">
      <c r="AS97" s="288" t="str">
        <f t="shared" si="9"/>
        <v/>
      </c>
      <c r="AT97" s="326">
        <f t="shared" si="12"/>
        <v>0</v>
      </c>
      <c r="AU97" s="326"/>
      <c r="AV97" s="326">
        <f t="shared" si="10"/>
        <v>0</v>
      </c>
      <c r="AW97" s="326">
        <f t="shared" si="13"/>
        <v>0</v>
      </c>
      <c r="AX97" s="288">
        <f t="shared" si="14"/>
        <v>0</v>
      </c>
      <c r="AY97" s="327">
        <f t="shared" si="8"/>
        <v>0</v>
      </c>
      <c r="AZ97" s="288">
        <f t="shared" si="11"/>
        <v>0</v>
      </c>
      <c r="BA97" s="288"/>
    </row>
    <row r="98" spans="45:53" s="246" customFormat="1" ht="15" x14ac:dyDescent="0.2">
      <c r="AS98" s="288" t="str">
        <f t="shared" si="9"/>
        <v/>
      </c>
      <c r="AT98" s="326">
        <f t="shared" si="12"/>
        <v>0</v>
      </c>
      <c r="AU98" s="326"/>
      <c r="AV98" s="326">
        <f t="shared" si="10"/>
        <v>0</v>
      </c>
      <c r="AW98" s="326">
        <f t="shared" si="13"/>
        <v>0</v>
      </c>
      <c r="AX98" s="288">
        <f t="shared" si="14"/>
        <v>0</v>
      </c>
      <c r="AY98" s="327">
        <f t="shared" si="8"/>
        <v>0</v>
      </c>
      <c r="AZ98" s="288">
        <f t="shared" si="11"/>
        <v>0</v>
      </c>
      <c r="BA98" s="288"/>
    </row>
    <row r="99" spans="45:53" s="246" customFormat="1" ht="15" x14ac:dyDescent="0.2">
      <c r="AS99" s="288" t="str">
        <f t="shared" si="9"/>
        <v/>
      </c>
      <c r="AT99" s="326">
        <f t="shared" si="12"/>
        <v>0</v>
      </c>
      <c r="AU99" s="326"/>
      <c r="AV99" s="326">
        <f t="shared" si="10"/>
        <v>0</v>
      </c>
      <c r="AW99" s="326">
        <f t="shared" si="13"/>
        <v>0</v>
      </c>
      <c r="AX99" s="288">
        <f t="shared" si="14"/>
        <v>0</v>
      </c>
      <c r="AY99" s="327">
        <f t="shared" si="8"/>
        <v>0</v>
      </c>
      <c r="AZ99" s="288">
        <f t="shared" si="11"/>
        <v>0</v>
      </c>
      <c r="BA99" s="288"/>
    </row>
    <row r="100" spans="45:53" s="246" customFormat="1" ht="15" x14ac:dyDescent="0.2">
      <c r="AS100" s="288" t="str">
        <f t="shared" si="9"/>
        <v/>
      </c>
      <c r="AT100" s="326">
        <f t="shared" si="12"/>
        <v>0</v>
      </c>
      <c r="AU100" s="326"/>
      <c r="AV100" s="326">
        <f t="shared" si="10"/>
        <v>0</v>
      </c>
      <c r="AW100" s="326">
        <f t="shared" si="13"/>
        <v>0</v>
      </c>
      <c r="AX100" s="288">
        <f t="shared" si="14"/>
        <v>0</v>
      </c>
      <c r="AY100" s="327">
        <f t="shared" si="8"/>
        <v>0</v>
      </c>
      <c r="AZ100" s="288">
        <f t="shared" si="11"/>
        <v>0</v>
      </c>
      <c r="BA100" s="288"/>
    </row>
    <row r="101" spans="45:53" s="246" customFormat="1" ht="15" x14ac:dyDescent="0.2">
      <c r="AS101" s="288" t="str">
        <f t="shared" si="9"/>
        <v/>
      </c>
      <c r="AT101" s="326">
        <f t="shared" si="12"/>
        <v>0</v>
      </c>
      <c r="AU101" s="326"/>
      <c r="AV101" s="326">
        <f t="shared" si="10"/>
        <v>0</v>
      </c>
      <c r="AW101" s="326">
        <f t="shared" si="13"/>
        <v>0</v>
      </c>
      <c r="AX101" s="288">
        <f t="shared" si="14"/>
        <v>0</v>
      </c>
      <c r="AY101" s="327">
        <f t="shared" si="8"/>
        <v>0</v>
      </c>
      <c r="AZ101" s="288">
        <f t="shared" si="11"/>
        <v>0</v>
      </c>
      <c r="BA101" s="288"/>
    </row>
    <row r="102" spans="45:53" s="246" customFormat="1" ht="15" x14ac:dyDescent="0.2">
      <c r="AS102" s="288" t="str">
        <f t="shared" si="9"/>
        <v/>
      </c>
      <c r="AT102" s="326">
        <f t="shared" si="12"/>
        <v>0</v>
      </c>
      <c r="AU102" s="326"/>
      <c r="AV102" s="326">
        <f t="shared" si="10"/>
        <v>0</v>
      </c>
      <c r="AW102" s="326">
        <f t="shared" si="13"/>
        <v>0</v>
      </c>
      <c r="AX102" s="288">
        <f t="shared" si="14"/>
        <v>0</v>
      </c>
      <c r="AY102" s="327">
        <f t="shared" si="8"/>
        <v>0</v>
      </c>
      <c r="AZ102" s="288">
        <f t="shared" si="11"/>
        <v>0</v>
      </c>
      <c r="BA102" s="288"/>
    </row>
    <row r="103" spans="45:53" s="246" customFormat="1" ht="15" x14ac:dyDescent="0.2">
      <c r="AS103" s="288" t="str">
        <f t="shared" si="9"/>
        <v/>
      </c>
      <c r="AT103" s="326">
        <f t="shared" si="12"/>
        <v>0</v>
      </c>
      <c r="AU103" s="326"/>
      <c r="AV103" s="326">
        <f t="shared" si="10"/>
        <v>0</v>
      </c>
      <c r="AW103" s="326">
        <f t="shared" si="13"/>
        <v>0</v>
      </c>
      <c r="AX103" s="288">
        <f t="shared" si="14"/>
        <v>0</v>
      </c>
      <c r="AY103" s="327">
        <f t="shared" ref="AY103:AY114" si="15">LN(AX103+$J$37)-LN($J$37)</f>
        <v>0</v>
      </c>
      <c r="AZ103" s="288">
        <f t="shared" si="11"/>
        <v>0</v>
      </c>
      <c r="BA103" s="288"/>
    </row>
    <row r="104" spans="45:53" s="246" customFormat="1" ht="15" x14ac:dyDescent="0.2">
      <c r="AS104" s="288" t="str">
        <f t="shared" si="9"/>
        <v/>
      </c>
      <c r="AT104" s="326">
        <f t="shared" si="12"/>
        <v>0</v>
      </c>
      <c r="AU104" s="326"/>
      <c r="AV104" s="326">
        <f t="shared" si="10"/>
        <v>0</v>
      </c>
      <c r="AW104" s="326">
        <f t="shared" si="13"/>
        <v>0</v>
      </c>
      <c r="AX104" s="288">
        <f t="shared" si="14"/>
        <v>0</v>
      </c>
      <c r="AY104" s="327">
        <f t="shared" si="15"/>
        <v>0</v>
      </c>
      <c r="AZ104" s="288">
        <f t="shared" si="11"/>
        <v>0</v>
      </c>
      <c r="BA104" s="288"/>
    </row>
    <row r="105" spans="45:53" s="246" customFormat="1" ht="15" x14ac:dyDescent="0.2">
      <c r="AS105" s="288" t="str">
        <f t="shared" si="9"/>
        <v/>
      </c>
      <c r="AT105" s="326">
        <f t="shared" si="12"/>
        <v>0</v>
      </c>
      <c r="AU105" s="326"/>
      <c r="AV105" s="326">
        <f t="shared" si="10"/>
        <v>0</v>
      </c>
      <c r="AW105" s="326">
        <f t="shared" si="13"/>
        <v>0</v>
      </c>
      <c r="AX105" s="288">
        <f t="shared" si="14"/>
        <v>0</v>
      </c>
      <c r="AY105" s="327">
        <f t="shared" si="15"/>
        <v>0</v>
      </c>
      <c r="AZ105" s="288">
        <f t="shared" si="11"/>
        <v>0</v>
      </c>
      <c r="BA105" s="288"/>
    </row>
    <row r="106" spans="45:53" s="246" customFormat="1" ht="15" x14ac:dyDescent="0.2">
      <c r="AS106" s="288" t="str">
        <f t="shared" si="9"/>
        <v/>
      </c>
      <c r="AT106" s="326">
        <f t="shared" si="12"/>
        <v>0</v>
      </c>
      <c r="AU106" s="326"/>
      <c r="AV106" s="326">
        <f t="shared" si="10"/>
        <v>0</v>
      </c>
      <c r="AW106" s="326">
        <f t="shared" si="13"/>
        <v>0</v>
      </c>
      <c r="AX106" s="288">
        <f t="shared" si="14"/>
        <v>0</v>
      </c>
      <c r="AY106" s="327">
        <f t="shared" si="15"/>
        <v>0</v>
      </c>
      <c r="AZ106" s="288">
        <f t="shared" si="11"/>
        <v>0</v>
      </c>
      <c r="BA106" s="288"/>
    </row>
    <row r="107" spans="45:53" s="246" customFormat="1" ht="15" x14ac:dyDescent="0.2">
      <c r="AS107" s="288" t="str">
        <f t="shared" si="9"/>
        <v/>
      </c>
      <c r="AT107" s="326">
        <f t="shared" si="12"/>
        <v>0</v>
      </c>
      <c r="AU107" s="326"/>
      <c r="AV107" s="326">
        <f t="shared" si="10"/>
        <v>0</v>
      </c>
      <c r="AW107" s="326">
        <f t="shared" si="13"/>
        <v>0</v>
      </c>
      <c r="AX107" s="288">
        <f t="shared" si="14"/>
        <v>0</v>
      </c>
      <c r="AY107" s="327">
        <f t="shared" si="15"/>
        <v>0</v>
      </c>
      <c r="AZ107" s="288">
        <f t="shared" si="11"/>
        <v>0</v>
      </c>
      <c r="BA107" s="288"/>
    </row>
    <row r="108" spans="45:53" s="246" customFormat="1" ht="15" x14ac:dyDescent="0.2">
      <c r="AS108" s="288" t="str">
        <f t="shared" si="9"/>
        <v/>
      </c>
      <c r="AT108" s="326">
        <f t="shared" si="12"/>
        <v>0</v>
      </c>
      <c r="AU108" s="326"/>
      <c r="AV108" s="326">
        <f t="shared" si="10"/>
        <v>0</v>
      </c>
      <c r="AW108" s="326">
        <f t="shared" si="13"/>
        <v>0</v>
      </c>
      <c r="AX108" s="288">
        <f t="shared" si="14"/>
        <v>0</v>
      </c>
      <c r="AY108" s="327">
        <f t="shared" si="15"/>
        <v>0</v>
      </c>
      <c r="AZ108" s="288">
        <f t="shared" si="11"/>
        <v>0</v>
      </c>
      <c r="BA108" s="288"/>
    </row>
    <row r="109" spans="45:53" s="246" customFormat="1" ht="15" x14ac:dyDescent="0.2">
      <c r="AS109" s="288" t="str">
        <f t="shared" si="9"/>
        <v/>
      </c>
      <c r="AT109" s="326">
        <f t="shared" si="12"/>
        <v>0</v>
      </c>
      <c r="AU109" s="326"/>
      <c r="AV109" s="326">
        <f t="shared" si="10"/>
        <v>0</v>
      </c>
      <c r="AW109" s="326">
        <f t="shared" si="13"/>
        <v>0</v>
      </c>
      <c r="AX109" s="288">
        <f t="shared" si="14"/>
        <v>0</v>
      </c>
      <c r="AY109" s="327">
        <f t="shared" si="15"/>
        <v>0</v>
      </c>
      <c r="AZ109" s="288">
        <f t="shared" si="11"/>
        <v>0</v>
      </c>
      <c r="BA109" s="288"/>
    </row>
    <row r="110" spans="45:53" s="246" customFormat="1" ht="15" x14ac:dyDescent="0.2">
      <c r="AS110" s="288" t="str">
        <f t="shared" si="9"/>
        <v/>
      </c>
      <c r="AT110" s="326">
        <f t="shared" si="12"/>
        <v>0</v>
      </c>
      <c r="AU110" s="326"/>
      <c r="AV110" s="326">
        <f t="shared" si="10"/>
        <v>0</v>
      </c>
      <c r="AW110" s="326">
        <f t="shared" si="13"/>
        <v>0</v>
      </c>
      <c r="AX110" s="288">
        <f t="shared" si="14"/>
        <v>0</v>
      </c>
      <c r="AY110" s="327">
        <f t="shared" si="15"/>
        <v>0</v>
      </c>
      <c r="AZ110" s="288">
        <f t="shared" si="11"/>
        <v>0</v>
      </c>
      <c r="BA110" s="288"/>
    </row>
    <row r="111" spans="45:53" s="246" customFormat="1" ht="15" x14ac:dyDescent="0.2">
      <c r="AS111" s="288" t="str">
        <f t="shared" si="9"/>
        <v/>
      </c>
      <c r="AT111" s="326">
        <f t="shared" si="12"/>
        <v>0</v>
      </c>
      <c r="AU111" s="326"/>
      <c r="AV111" s="326">
        <f t="shared" si="10"/>
        <v>0</v>
      </c>
      <c r="AW111" s="326">
        <f t="shared" si="13"/>
        <v>0</v>
      </c>
      <c r="AX111" s="288">
        <f t="shared" si="14"/>
        <v>0</v>
      </c>
      <c r="AY111" s="327">
        <f t="shared" si="15"/>
        <v>0</v>
      </c>
      <c r="AZ111" s="288">
        <f t="shared" si="11"/>
        <v>0</v>
      </c>
      <c r="BA111" s="288"/>
    </row>
    <row r="112" spans="45:53" s="246" customFormat="1" ht="15" x14ac:dyDescent="0.2">
      <c r="AS112" s="288" t="str">
        <f t="shared" si="9"/>
        <v/>
      </c>
      <c r="AT112" s="326">
        <f t="shared" si="12"/>
        <v>0</v>
      </c>
      <c r="AU112" s="326"/>
      <c r="AV112" s="326">
        <f t="shared" si="10"/>
        <v>0</v>
      </c>
      <c r="AW112" s="326">
        <f t="shared" si="13"/>
        <v>0</v>
      </c>
      <c r="AX112" s="288">
        <f t="shared" si="14"/>
        <v>0</v>
      </c>
      <c r="AY112" s="327">
        <f t="shared" si="15"/>
        <v>0</v>
      </c>
      <c r="AZ112" s="288">
        <f t="shared" si="11"/>
        <v>0</v>
      </c>
      <c r="BA112" s="288"/>
    </row>
    <row r="113" spans="45:53" s="246" customFormat="1" ht="15" x14ac:dyDescent="0.2">
      <c r="AS113" s="288" t="str">
        <f t="shared" si="9"/>
        <v/>
      </c>
      <c r="AT113" s="326">
        <f t="shared" si="12"/>
        <v>0</v>
      </c>
      <c r="AU113" s="326"/>
      <c r="AV113" s="326">
        <f t="shared" si="10"/>
        <v>0</v>
      </c>
      <c r="AW113" s="326">
        <f t="shared" si="13"/>
        <v>0</v>
      </c>
      <c r="AX113" s="288">
        <f t="shared" si="14"/>
        <v>0</v>
      </c>
      <c r="AY113" s="327">
        <f t="shared" si="15"/>
        <v>0</v>
      </c>
      <c r="AZ113" s="288">
        <f t="shared" si="11"/>
        <v>0</v>
      </c>
      <c r="BA113" s="288"/>
    </row>
    <row r="114" spans="45:53" s="246" customFormat="1" ht="15" x14ac:dyDescent="0.2">
      <c r="AS114" s="288" t="str">
        <f t="shared" si="9"/>
        <v/>
      </c>
      <c r="AT114" s="326">
        <f t="shared" si="12"/>
        <v>0</v>
      </c>
      <c r="AU114" s="326"/>
      <c r="AV114" s="326">
        <f t="shared" si="10"/>
        <v>0</v>
      </c>
      <c r="AW114" s="326">
        <f t="shared" si="13"/>
        <v>0</v>
      </c>
      <c r="AX114" s="288">
        <f t="shared" si="14"/>
        <v>0</v>
      </c>
      <c r="AY114" s="327">
        <f t="shared" si="15"/>
        <v>0</v>
      </c>
      <c r="AZ114" s="288">
        <f t="shared" si="11"/>
        <v>0</v>
      </c>
      <c r="BA114" s="288"/>
    </row>
    <row r="115" spans="45:53" s="246" customFormat="1" ht="15" x14ac:dyDescent="0.2">
      <c r="BA115" s="288"/>
    </row>
    <row r="116" spans="45:53" s="246" customFormat="1" ht="15" x14ac:dyDescent="0.2">
      <c r="BA116" s="288"/>
    </row>
    <row r="117" spans="45:53" s="246" customFormat="1" ht="15" x14ac:dyDescent="0.2">
      <c r="BA117" s="288"/>
    </row>
    <row r="118" spans="45:53" s="246" customFormat="1" ht="15" x14ac:dyDescent="0.2">
      <c r="BA118" s="288"/>
    </row>
    <row r="119" spans="45:53" ht="15" x14ac:dyDescent="0.2">
      <c r="BA119" s="232"/>
    </row>
  </sheetData>
  <mergeCells count="68">
    <mergeCell ref="J37:N37"/>
    <mergeCell ref="O37:P37"/>
    <mergeCell ref="D38:G38"/>
    <mergeCell ref="R38:T38"/>
    <mergeCell ref="B23:E26"/>
    <mergeCell ref="F31:F34"/>
    <mergeCell ref="R33:V33"/>
    <mergeCell ref="B36:B38"/>
    <mergeCell ref="D36:F36"/>
    <mergeCell ref="H36:I36"/>
    <mergeCell ref="J36:N36"/>
    <mergeCell ref="O36:P36"/>
    <mergeCell ref="D37:F37"/>
    <mergeCell ref="H37:I37"/>
    <mergeCell ref="L17:M17"/>
    <mergeCell ref="T17:U17"/>
    <mergeCell ref="T18:U18"/>
    <mergeCell ref="T19:U19"/>
    <mergeCell ref="F21:F24"/>
    <mergeCell ref="Q21:Q25"/>
    <mergeCell ref="R21:S22"/>
    <mergeCell ref="U21:W22"/>
    <mergeCell ref="Q13:Q14"/>
    <mergeCell ref="T13:U13"/>
    <mergeCell ref="V13:W13"/>
    <mergeCell ref="B14:B18"/>
    <mergeCell ref="C14:C15"/>
    <mergeCell ref="D14:D15"/>
    <mergeCell ref="F14:F15"/>
    <mergeCell ref="G14:G15"/>
    <mergeCell ref="T14:U14"/>
    <mergeCell ref="V14:W14"/>
    <mergeCell ref="T15:U15"/>
    <mergeCell ref="C16:C17"/>
    <mergeCell ref="D16:D17"/>
    <mergeCell ref="F16:F17"/>
    <mergeCell ref="G16:G17"/>
    <mergeCell ref="T16:U16"/>
    <mergeCell ref="V10:W10"/>
    <mergeCell ref="Z10:AA10"/>
    <mergeCell ref="T11:U11"/>
    <mergeCell ref="V11:W11"/>
    <mergeCell ref="T12:U12"/>
    <mergeCell ref="V12:W12"/>
    <mergeCell ref="AE6:AE7"/>
    <mergeCell ref="B7:B11"/>
    <mergeCell ref="Q8:Q11"/>
    <mergeCell ref="T8:U8"/>
    <mergeCell ref="V8:W8"/>
    <mergeCell ref="C9:D9"/>
    <mergeCell ref="T9:U9"/>
    <mergeCell ref="V9:W9"/>
    <mergeCell ref="Z9:AA9"/>
    <mergeCell ref="T10:U10"/>
    <mergeCell ref="C6:D6"/>
    <mergeCell ref="I6:J6"/>
    <mergeCell ref="L6:M6"/>
    <mergeCell ref="T6:U6"/>
    <mergeCell ref="V6:W6"/>
    <mergeCell ref="AD6:AD7"/>
    <mergeCell ref="S2:T3"/>
    <mergeCell ref="Z2:AB3"/>
    <mergeCell ref="B4:D5"/>
    <mergeCell ref="F4:G5"/>
    <mergeCell ref="T4:U4"/>
    <mergeCell ref="V4:W4"/>
    <mergeCell ref="T5:U5"/>
    <mergeCell ref="V5:W5"/>
  </mergeCells>
  <phoneticPr fontId="49" type="noConversion"/>
  <dataValidations count="3">
    <dataValidation type="list" allowBlank="1" showInputMessage="1" sqref="K15">
      <formula1>$C$28:$G$28</formula1>
    </dataValidation>
    <dataValidation type="list" allowBlank="1" showInputMessage="1" sqref="K14">
      <formula1>$C$21:$G$21</formula1>
    </dataValidation>
    <dataValidation type="list" allowBlank="1" showInputMessage="1" sqref="K9">
      <formula1>$C$30:$G$30</formula1>
    </dataValidation>
  </dataValidations>
  <hyperlinks>
    <hyperlink ref="H38" r:id="rId1" location="Grantstructure"/>
  </hyperlinks>
  <pageMargins left="0.7" right="0.7" top="0.75" bottom="0.75" header="0.3" footer="0.3"/>
  <legacyDrawing r:id="rId2"/>
  <extLst>
    <ext xmlns:x14="http://schemas.microsoft.com/office/spreadsheetml/2009/9/main" uri="{CCE6A557-97BC-4b89-ADB6-D9C93CAAB3DF}">
      <x14:dataValidations xmlns:xm="http://schemas.microsoft.com/office/excel/2006/main" count="36">
        <x14:dataValidation type="list" allowBlank="1" showInputMessage="1">
          <x14:formula1>
            <xm:f>Parameters!$D$5:$H$5</xm:f>
          </x14:formula1>
          <xm:sqref>G7</xm:sqref>
        </x14:dataValidation>
        <x14:dataValidation type="list" allowBlank="1" showInputMessage="1">
          <x14:formula1>
            <xm:f>Parameters!$D$9:$H$9</xm:f>
          </x14:formula1>
          <xm:sqref>G10</xm:sqref>
        </x14:dataValidation>
        <x14:dataValidation type="list" allowBlank="1" showInputMessage="1">
          <x14:formula1>
            <xm:f>Parameters!$D$8:$H$8</xm:f>
          </x14:formula1>
          <xm:sqref>G8</xm:sqref>
        </x14:dataValidation>
        <x14:dataValidation type="list" allowBlank="1" showInputMessage="1">
          <x14:formula1>
            <xm:f>Parameters!$D$32:$H$32</xm:f>
          </x14:formula1>
          <xm:sqref>G18</xm:sqref>
        </x14:dataValidation>
        <x14:dataValidation type="list" allowBlank="1" showInputMessage="1">
          <x14:formula1>
            <xm:f>Parameters!$D$7:$H$7</xm:f>
          </x14:formula1>
          <xm:sqref>G9</xm:sqref>
        </x14:dataValidation>
        <x14:dataValidation type="list" allowBlank="1" showInputMessage="1">
          <x14:formula1>
            <xm:f>Parameters!$D$4:$H$4</xm:f>
          </x14:formula1>
          <xm:sqref>D7</xm:sqref>
        </x14:dataValidation>
        <x14:dataValidation type="list" allowBlank="1" showInputMessage="1">
          <x14:formula1>
            <xm:f>Parameters!$D$14:$H$14</xm:f>
          </x14:formula1>
          <xm:sqref>J17:K17</xm:sqref>
        </x14:dataValidation>
        <x14:dataValidation type="list" allowBlank="1" showInputMessage="1">
          <x14:formula1>
            <xm:f>Parameters!$D$17:$H$17</xm:f>
          </x14:formula1>
          <xm:sqref>J18:K18</xm:sqref>
        </x14:dataValidation>
        <x14:dataValidation type="list" allowBlank="1" showInputMessage="1">
          <x14:formula1>
            <xm:f>Parameters!$D$21:$H$21</xm:f>
          </x14:formula1>
          <xm:sqref>J16:K16</xm:sqref>
        </x14:dataValidation>
        <x14:dataValidation type="list" allowBlank="1" showInputMessage="1">
          <x14:formula1>
            <xm:f>Parameters!$D$18:$H$18</xm:f>
          </x14:formula1>
          <xm:sqref>J10</xm:sqref>
        </x14:dataValidation>
        <x14:dataValidation type="list" allowBlank="1" showInputMessage="1">
          <x14:formula1>
            <xm:f>Parameters!$E$23:$G$23</xm:f>
          </x14:formula1>
          <xm:sqref>K7</xm:sqref>
        </x14:dataValidation>
        <x14:dataValidation type="list" allowBlank="1" showInputMessage="1">
          <x14:formula1>
            <xm:f>Parameters!$D$23:$H$23</xm:f>
          </x14:formula1>
          <xm:sqref>J7</xm:sqref>
        </x14:dataValidation>
        <x14:dataValidation type="list" allowBlank="1" showInputMessage="1">
          <x14:formula1>
            <xm:f>Parameters!$E$16:$I$16</xm:f>
          </x14:formula1>
          <xm:sqref>K10</xm:sqref>
        </x14:dataValidation>
        <x14:dataValidation type="list" allowBlank="1" showInputMessage="1">
          <x14:formula1>
            <xm:f>Parameters!$D$16:$H$16</xm:f>
          </x14:formula1>
          <xm:sqref>J8</xm:sqref>
        </x14:dataValidation>
        <x14:dataValidation type="list" allowBlank="1" showInputMessage="1">
          <x14:formula1>
            <xm:f>Parameters!$D$36:$H$36</xm:f>
          </x14:formula1>
          <xm:sqref>M7</xm:sqref>
        </x14:dataValidation>
        <x14:dataValidation type="list" allowBlank="1" showInputMessage="1">
          <x14:formula1>
            <xm:f>Parameters!$D$37:$H$37</xm:f>
          </x14:formula1>
          <xm:sqref>M8</xm:sqref>
        </x14:dataValidation>
        <x14:dataValidation type="list" allowBlank="1" showInputMessage="1">
          <x14:formula1>
            <xm:f>Parameters!$D$38:$H$38</xm:f>
          </x14:formula1>
          <xm:sqref>M9</xm:sqref>
        </x14:dataValidation>
        <x14:dataValidation type="list" allowBlank="1" showInputMessage="1">
          <x14:formula1>
            <xm:f>Parameters!$D$39:$H$39</xm:f>
          </x14:formula1>
          <xm:sqref>M10</xm:sqref>
        </x14:dataValidation>
        <x14:dataValidation type="list" allowBlank="1" showInputMessage="1">
          <x14:formula1>
            <xm:f>Parameters!$D$40:$H$40</xm:f>
          </x14:formula1>
          <xm:sqref>M11</xm:sqref>
        </x14:dataValidation>
        <x14:dataValidation type="list" allowBlank="1" showInputMessage="1">
          <x14:formula1>
            <xm:f>Parameters!$D$41:$H$41</xm:f>
          </x14:formula1>
          <xm:sqref>M12</xm:sqref>
        </x14:dataValidation>
        <x14:dataValidation type="list" allowBlank="1" showInputMessage="1">
          <x14:formula1>
            <xm:f>Parameters!$D$42:$H$42</xm:f>
          </x14:formula1>
          <xm:sqref>M13</xm:sqref>
        </x14:dataValidation>
        <x14:dataValidation type="list" allowBlank="1" showInputMessage="1">
          <x14:formula1>
            <xm:f>Parameters!$D$43:$H$43</xm:f>
          </x14:formula1>
          <xm:sqref>M14</xm:sqref>
        </x14:dataValidation>
        <x14:dataValidation type="list" allowBlank="1" showInputMessage="1">
          <x14:formula1>
            <xm:f>Parameters!$D$44:$H$44</xm:f>
          </x14:formula1>
          <xm:sqref>M15</xm:sqref>
        </x14:dataValidation>
        <x14:dataValidation type="list" allowBlank="1" showInputMessage="1">
          <x14:formula1>
            <xm:f>Parameters!$D$25:$H$25</xm:f>
          </x14:formula1>
          <xm:sqref>J9</xm:sqref>
        </x14:dataValidation>
        <x14:dataValidation type="list" allowBlank="1" showInputMessage="1">
          <x14:formula1>
            <xm:f>Parameters!$D$24:$H$24</xm:f>
          </x14:formula1>
          <xm:sqref>J11</xm:sqref>
        </x14:dataValidation>
        <x14:dataValidation type="list" allowBlank="1" showInputMessage="1">
          <x14:formula1>
            <xm:f>Parameters!$D$15:$H$15</xm:f>
          </x14:formula1>
          <xm:sqref>J15</xm:sqref>
        </x14:dataValidation>
        <x14:dataValidation type="list" allowBlank="1" showInputMessage="1">
          <x14:formula1>
            <xm:f>Parameters!$D$22:$H$22</xm:f>
          </x14:formula1>
          <xm:sqref>J14</xm:sqref>
        </x14:dataValidation>
        <x14:dataValidation type="list" allowBlank="1" showInputMessage="1">
          <x14:formula1>
            <xm:f>Parameters!$D$28:$H$28</xm:f>
          </x14:formula1>
          <xm:sqref>G16</xm:sqref>
        </x14:dataValidation>
        <x14:dataValidation type="list" allowBlank="1" showInputMessage="1">
          <x14:formula1>
            <xm:f>Parameters!$D$10:$H$10</xm:f>
          </x14:formula1>
          <xm:sqref>G14</xm:sqref>
        </x14:dataValidation>
        <x14:dataValidation type="list" allowBlank="1" showInputMessage="1">
          <x14:formula1>
            <xm:f>Parameters!$D$56:$H$56</xm:f>
          </x14:formula1>
          <xm:sqref>D14</xm:sqref>
        </x14:dataValidation>
        <x14:dataValidation type="list" allowBlank="1" showInputMessage="1">
          <x14:formula1>
            <xm:f>Parameters!$D$55:$H$55</xm:f>
          </x14:formula1>
          <xm:sqref>D11</xm:sqref>
        </x14:dataValidation>
        <x14:dataValidation type="list" allowBlank="1" showInputMessage="1">
          <x14:formula1>
            <xm:f>Parameters!$D$54:$H$54</xm:f>
          </x14:formula1>
          <xm:sqref>D10</xm:sqref>
        </x14:dataValidation>
        <x14:dataValidation type="list" allowBlank="1" showInputMessage="1">
          <x14:formula1>
            <xm:f>Parameters!$D$57:$H$57</xm:f>
          </x14:formula1>
          <xm:sqref>D16:D17</xm:sqref>
        </x14:dataValidation>
        <x14:dataValidation type="list" allowBlank="1" showInputMessage="1">
          <x14:formula1>
            <xm:f>Parameters!$D$33:$H$33</xm:f>
          </x14:formula1>
          <xm:sqref>G11</xm:sqref>
        </x14:dataValidation>
        <x14:dataValidation type="list" allowBlank="1" showInputMessage="1">
          <x14:formula1>
            <xm:f>Parameters!$D$6:$H$6</xm:f>
          </x14:formula1>
          <xm:sqref>G13</xm:sqref>
        </x14:dataValidation>
        <x14:dataValidation type="list" allowBlank="1" showInputMessage="1">
          <x14:formula1>
            <xm:f>Parameters!$D$51:$H$51</xm:f>
          </x14:formula1>
          <xm:sqref>M18</xm:sqref>
        </x14:dataValidation>
      </x14:dataValidations>
    </ext>
  </extLs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B119"/>
  <sheetViews>
    <sheetView workbookViewId="0"/>
  </sheetViews>
  <sheetFormatPr baseColWidth="10" defaultColWidth="8.83203125" defaultRowHeight="11" x14ac:dyDescent="0.15"/>
  <cols>
    <col min="1" max="1" width="1.5" style="233" customWidth="1"/>
    <col min="2" max="2" width="9.5" style="233" customWidth="1"/>
    <col min="3" max="3" width="14.5" style="233" customWidth="1"/>
    <col min="4" max="4" width="5.83203125" style="233" customWidth="1"/>
    <col min="5" max="5" width="1.83203125" style="233" customWidth="1"/>
    <col min="6" max="6" width="21.5" style="233" customWidth="1"/>
    <col min="7" max="7" width="13.5" style="233" customWidth="1"/>
    <col min="8" max="8" width="1.5" style="233" customWidth="1"/>
    <col min="9" max="9" width="16.5" style="233" customWidth="1"/>
    <col min="10" max="10" width="8.5" style="233" customWidth="1"/>
    <col min="11" max="11" width="1.5" style="233" customWidth="1"/>
    <col min="12" max="12" width="22.83203125" style="233" customWidth="1"/>
    <col min="13" max="13" width="8.5" style="233" customWidth="1"/>
    <col min="14" max="14" width="0.83203125" style="233" customWidth="1"/>
    <col min="15" max="15" width="2.83203125" style="233" customWidth="1"/>
    <col min="16" max="16" width="3.5" style="233" customWidth="1"/>
    <col min="17" max="17" width="15.5" style="233" customWidth="1"/>
    <col min="18" max="18" width="30.83203125" style="233" customWidth="1"/>
    <col min="19" max="19" width="23.5" style="233" customWidth="1"/>
    <col min="20" max="20" width="1" style="233" customWidth="1"/>
    <col min="21" max="21" width="24.5" style="233" customWidth="1"/>
    <col min="22" max="23" width="12.5" style="233" customWidth="1"/>
    <col min="24" max="24" width="12.5" style="246" customWidth="1"/>
    <col min="25" max="25" width="13.5" style="233" customWidth="1"/>
    <col min="26" max="26" width="14.1640625" style="233" customWidth="1"/>
    <col min="27" max="28" width="11.5" style="233" customWidth="1"/>
    <col min="29" max="29" width="2.5" style="233" customWidth="1"/>
    <col min="30" max="30" width="28.5" style="233" customWidth="1"/>
    <col min="31" max="31" width="14.5" style="233" bestFit="1" customWidth="1"/>
    <col min="32" max="16384" width="8.83203125" style="233"/>
  </cols>
  <sheetData>
    <row r="1" spans="1:54" ht="6" customHeight="1" thickBot="1" x14ac:dyDescent="0.35">
      <c r="A1" s="274"/>
      <c r="B1" s="246"/>
      <c r="C1" s="246"/>
      <c r="D1" s="246"/>
      <c r="E1" s="246"/>
      <c r="F1" s="246"/>
      <c r="G1" s="246"/>
      <c r="H1" s="246"/>
      <c r="I1" s="246"/>
      <c r="J1" s="246"/>
      <c r="K1" s="246"/>
      <c r="L1" s="246"/>
      <c r="M1" s="246"/>
      <c r="N1" s="246"/>
      <c r="O1" s="246"/>
      <c r="P1" s="246"/>
      <c r="Q1" s="246"/>
      <c r="R1" s="254"/>
      <c r="S1" s="246"/>
      <c r="T1" s="246"/>
      <c r="U1" s="246"/>
      <c r="V1" s="246"/>
      <c r="W1" s="246"/>
      <c r="Y1" s="246"/>
      <c r="Z1" s="246"/>
      <c r="AA1" s="246"/>
      <c r="AB1" s="246"/>
      <c r="AC1" s="246"/>
      <c r="AD1" s="246"/>
      <c r="AE1" s="246"/>
      <c r="AF1" s="246"/>
      <c r="AG1" s="246"/>
      <c r="AH1" s="246"/>
      <c r="AI1" s="246"/>
      <c r="AJ1" s="246"/>
      <c r="AK1" s="246"/>
      <c r="AL1" s="246"/>
      <c r="AM1" s="246"/>
      <c r="AN1" s="246"/>
      <c r="AO1" s="246"/>
      <c r="AP1" s="246"/>
      <c r="AQ1" s="246"/>
    </row>
    <row r="2" spans="1:54" ht="15" customHeight="1" x14ac:dyDescent="0.25">
      <c r="A2" s="246"/>
      <c r="B2" s="246"/>
      <c r="C2" s="334"/>
      <c r="D2" s="249"/>
      <c r="E2" s="249"/>
      <c r="F2" s="246"/>
      <c r="G2" s="246"/>
      <c r="H2" s="246"/>
      <c r="I2" s="246"/>
      <c r="J2" s="246"/>
      <c r="K2" s="274"/>
      <c r="L2" s="386"/>
      <c r="M2" s="274"/>
      <c r="N2" s="246"/>
      <c r="O2" s="246"/>
      <c r="P2" s="246"/>
      <c r="Q2" s="246"/>
      <c r="S2" s="553" t="s">
        <v>409</v>
      </c>
      <c r="T2" s="554"/>
      <c r="U2" s="333"/>
      <c r="V2" s="333"/>
      <c r="W2" s="333"/>
      <c r="X2" s="333"/>
      <c r="Y2" s="246"/>
      <c r="Z2" s="557" t="s">
        <v>290</v>
      </c>
      <c r="AA2" s="558"/>
      <c r="AB2" s="559"/>
      <c r="AC2" s="246"/>
      <c r="AD2" s="246"/>
      <c r="AE2" s="246"/>
      <c r="AF2" s="246"/>
      <c r="AG2" s="246"/>
      <c r="AH2" s="246"/>
      <c r="AI2" s="246"/>
      <c r="AJ2" s="246"/>
      <c r="AK2" s="246"/>
      <c r="AL2" s="246"/>
      <c r="AM2" s="246"/>
      <c r="AN2" s="246"/>
      <c r="AO2" s="246"/>
      <c r="AP2" s="246"/>
      <c r="AQ2" s="246"/>
      <c r="AS2" s="232" t="s">
        <v>477</v>
      </c>
      <c r="AT2" s="232" t="s">
        <v>478</v>
      </c>
      <c r="AU2" s="232" t="s">
        <v>479</v>
      </c>
      <c r="AV2" s="232" t="s">
        <v>480</v>
      </c>
      <c r="AW2" s="232" t="s">
        <v>481</v>
      </c>
      <c r="AX2" s="232" t="s">
        <v>482</v>
      </c>
      <c r="AY2" s="232" t="s">
        <v>483</v>
      </c>
      <c r="AZ2" s="232" t="s">
        <v>432</v>
      </c>
      <c r="BA2" s="232" t="s">
        <v>485</v>
      </c>
    </row>
    <row r="3" spans="1:54" ht="19.5" customHeight="1" thickBot="1" x14ac:dyDescent="0.3">
      <c r="A3" s="246"/>
      <c r="B3" s="334"/>
      <c r="C3" s="334"/>
      <c r="D3" s="249"/>
      <c r="E3" s="249"/>
      <c r="F3" s="246"/>
      <c r="G3" s="246"/>
      <c r="H3" s="246"/>
      <c r="I3" s="246"/>
      <c r="J3" s="246"/>
      <c r="K3" s="274"/>
      <c r="L3" s="274"/>
      <c r="M3" s="274"/>
      <c r="N3" s="246"/>
      <c r="O3" s="246"/>
      <c r="P3" s="246"/>
      <c r="Q3" s="246"/>
      <c r="R3" s="333"/>
      <c r="S3" s="555"/>
      <c r="T3" s="556"/>
      <c r="U3" s="333"/>
      <c r="V3" s="333"/>
      <c r="W3" s="333"/>
      <c r="X3" s="333"/>
      <c r="Y3" s="246"/>
      <c r="Z3" s="560"/>
      <c r="AA3" s="561"/>
      <c r="AB3" s="562"/>
      <c r="AC3" s="246"/>
      <c r="AD3" s="246"/>
      <c r="AE3" s="246"/>
      <c r="AF3" s="246"/>
      <c r="AG3" s="246"/>
      <c r="AH3" s="246"/>
      <c r="AI3" s="246"/>
      <c r="AJ3" s="246"/>
      <c r="AK3" s="246"/>
      <c r="AL3" s="246"/>
      <c r="AM3" s="246"/>
      <c r="AN3" s="246"/>
      <c r="AO3" s="246"/>
      <c r="AP3" s="246"/>
      <c r="AQ3" s="246"/>
      <c r="AS3" s="232"/>
      <c r="AT3" s="232"/>
      <c r="AU3" s="232"/>
      <c r="AV3" s="232"/>
      <c r="AW3" s="232"/>
      <c r="AX3" s="232"/>
      <c r="AY3" s="232"/>
      <c r="AZ3" s="232"/>
      <c r="BA3" s="232"/>
    </row>
    <row r="4" spans="1:54" ht="40.75" customHeight="1" x14ac:dyDescent="0.2">
      <c r="A4" s="246"/>
      <c r="B4" s="563" t="s">
        <v>365</v>
      </c>
      <c r="C4" s="563"/>
      <c r="D4" s="563"/>
      <c r="E4" s="336"/>
      <c r="F4" s="565" t="s">
        <v>408</v>
      </c>
      <c r="G4" s="566"/>
      <c r="H4" s="249"/>
      <c r="I4" s="246"/>
      <c r="J4" s="246"/>
      <c r="K4" s="246"/>
      <c r="L4" s="246"/>
      <c r="M4" s="246"/>
      <c r="N4" s="277"/>
      <c r="O4" s="277"/>
      <c r="P4" s="277"/>
      <c r="Q4" s="332"/>
      <c r="R4" s="457" t="s">
        <v>393</v>
      </c>
      <c r="S4" s="457" t="s">
        <v>245</v>
      </c>
      <c r="T4" s="569" t="s">
        <v>244</v>
      </c>
      <c r="U4" s="569"/>
      <c r="V4" s="569" t="s">
        <v>395</v>
      </c>
      <c r="W4" s="570"/>
      <c r="X4" s="238"/>
      <c r="Y4" s="246"/>
      <c r="Z4" s="369" t="s">
        <v>291</v>
      </c>
      <c r="AA4" s="370"/>
      <c r="AB4" s="371"/>
      <c r="AC4" s="242"/>
      <c r="AD4" s="372" t="s">
        <v>292</v>
      </c>
      <c r="AE4" s="373"/>
      <c r="AF4" s="246"/>
      <c r="AG4" s="246"/>
      <c r="AH4" s="246"/>
      <c r="AI4" s="246"/>
      <c r="AJ4" s="246"/>
      <c r="AK4" s="246"/>
      <c r="AL4" s="246"/>
      <c r="AM4" s="246"/>
      <c r="AN4" s="246"/>
      <c r="AO4" s="246"/>
      <c r="AP4" s="246"/>
      <c r="AQ4" s="246"/>
      <c r="AS4" s="232">
        <v>0</v>
      </c>
      <c r="AT4" s="278">
        <f>Q37</f>
        <v>212.7659574468085</v>
      </c>
      <c r="AU4" s="278">
        <f>(1-$D$11)*AT4</f>
        <v>127.6595744680851</v>
      </c>
      <c r="AV4" s="278"/>
      <c r="AW4" s="232"/>
      <c r="AX4" s="232">
        <f>IF(ISNUMBER(AS5),SUM(AU4:AV4),SUM(AU4:AW4))</f>
        <v>127.6595744680851</v>
      </c>
      <c r="AY4" s="279">
        <f t="shared" ref="AY4:AY30" si="0">LN(AX4+$J$37)-LN($J$37)</f>
        <v>0.36913541566724817</v>
      </c>
      <c r="AZ4" s="232">
        <f>IF(ISNUMBER(AS4),AY4/(1+$D$7)^AS4,0)</f>
        <v>0.36913541566724817</v>
      </c>
      <c r="BA4" s="232"/>
    </row>
    <row r="5" spans="1:54" ht="10.75" customHeight="1" thickBot="1" x14ac:dyDescent="0.25">
      <c r="A5" s="246"/>
      <c r="B5" s="564"/>
      <c r="C5" s="564"/>
      <c r="D5" s="564"/>
      <c r="E5" s="335"/>
      <c r="F5" s="567"/>
      <c r="G5" s="568"/>
      <c r="H5" s="256"/>
      <c r="I5" s="256"/>
      <c r="J5" s="246"/>
      <c r="K5" s="246"/>
      <c r="L5" s="246"/>
      <c r="M5" s="246"/>
      <c r="N5" s="246"/>
      <c r="O5" s="246"/>
      <c r="P5" s="246"/>
      <c r="Q5" s="459" t="s">
        <v>411</v>
      </c>
      <c r="R5" s="458">
        <f>D37/(1+D7)^10</f>
        <v>0.16514266520246426</v>
      </c>
      <c r="S5" s="458">
        <f>R5*(1-1/(1+D7)^G16)/(1-1/(1+D7))</f>
        <v>1.7998306119310892</v>
      </c>
      <c r="T5" s="582">
        <f>S5*G11*G7*G9*G18*G8/G37</f>
        <v>2.9150509933788829E-2</v>
      </c>
      <c r="U5" s="582"/>
      <c r="V5" s="572">
        <f>$G$14*$G$10</f>
        <v>1.8004564257236017E-3</v>
      </c>
      <c r="W5" s="573"/>
      <c r="X5" s="238"/>
      <c r="Y5" s="246"/>
      <c r="Z5" s="357" t="s">
        <v>121</v>
      </c>
      <c r="AA5" s="358"/>
      <c r="AB5" s="359"/>
      <c r="AC5" s="247"/>
      <c r="AD5" s="238"/>
      <c r="AE5" s="244"/>
      <c r="AF5" s="246"/>
      <c r="AG5" s="246"/>
      <c r="AH5" s="246"/>
      <c r="AI5" s="246"/>
      <c r="AJ5" s="246"/>
      <c r="AK5" s="246"/>
      <c r="AL5" s="246"/>
      <c r="AM5" s="246"/>
      <c r="AN5" s="246"/>
      <c r="AO5" s="246"/>
      <c r="AP5" s="246"/>
      <c r="AQ5" s="246"/>
      <c r="AS5" s="232">
        <f t="shared" ref="AS5:AS68" si="1">IF(AS4&lt;$D$14,AS4+1,"")</f>
        <v>1</v>
      </c>
      <c r="AT5" s="278">
        <f>AT4-AU4</f>
        <v>85.106382978723403</v>
      </c>
      <c r="AU5" s="278"/>
      <c r="AV5" s="278">
        <f t="shared" ref="AV5:AV71" si="2">$D$10*AT5</f>
        <v>16.170212765957448</v>
      </c>
      <c r="AW5" s="278">
        <f>AT5</f>
        <v>85.106382978723403</v>
      </c>
      <c r="AX5" s="232">
        <f t="shared" ref="AX5:AX14" si="3">IF(ISNUMBER(AS6),SUM(AU5:AV5),SUM(AU5:AW5))</f>
        <v>16.170212765957448</v>
      </c>
      <c r="AY5" s="279">
        <f t="shared" si="0"/>
        <v>5.5013210766133191E-2</v>
      </c>
      <c r="AZ5" s="232">
        <f t="shared" ref="AZ5:AZ71" si="4">IF(ISNUMBER(AS5),AY5/(1+$D$7)^AS5,0)</f>
        <v>5.2393534062983992E-2</v>
      </c>
      <c r="BA5" s="232">
        <f>SUM(AZ5:AZ114)</f>
        <v>0.69040926423095395</v>
      </c>
      <c r="BB5" s="233">
        <f>SUM(AZ5:AZ23)</f>
        <v>0.69040926423095395</v>
      </c>
    </row>
    <row r="6" spans="1:54" ht="15" customHeight="1" x14ac:dyDescent="0.2">
      <c r="A6" s="246"/>
      <c r="B6" s="242"/>
      <c r="C6" s="587" t="s">
        <v>540</v>
      </c>
      <c r="D6" s="587"/>
      <c r="E6" s="271"/>
      <c r="F6" s="350" t="s">
        <v>541</v>
      </c>
      <c r="G6" s="351"/>
      <c r="H6" s="272"/>
      <c r="I6" s="587" t="s">
        <v>567</v>
      </c>
      <c r="J6" s="587"/>
      <c r="K6" s="272"/>
      <c r="L6" s="588" t="s">
        <v>390</v>
      </c>
      <c r="M6" s="588"/>
      <c r="N6" s="243"/>
      <c r="O6" s="238"/>
      <c r="P6" s="246"/>
      <c r="Q6" s="459" t="s">
        <v>412</v>
      </c>
      <c r="R6" s="458">
        <f>(M15*M11)/(1+D7)^10</f>
        <v>0</v>
      </c>
      <c r="S6" s="458">
        <f>R6*(1-1/(1+D7)^G16)/(1-1/(1+D7))</f>
        <v>0</v>
      </c>
      <c r="T6" s="582">
        <f>S6*M8*M9*M14*(W37/V37)*G11</f>
        <v>0</v>
      </c>
      <c r="U6" s="582"/>
      <c r="V6" s="572">
        <v>0</v>
      </c>
      <c r="W6" s="589"/>
      <c r="X6" s="238"/>
      <c r="Y6" s="246"/>
      <c r="Z6" s="360" t="s">
        <v>570</v>
      </c>
      <c r="AA6" s="361"/>
      <c r="AB6" s="362">
        <f>$G$7*$G$8*$G$9*G$18*$J7</f>
        <v>9.4654945054945035E-3</v>
      </c>
      <c r="AC6" s="247"/>
      <c r="AD6" s="590" t="s">
        <v>123</v>
      </c>
      <c r="AE6" s="574">
        <f>G10</f>
        <v>0.98553353151599676</v>
      </c>
      <c r="AF6" s="246"/>
      <c r="AG6" s="246"/>
      <c r="AH6" s="246"/>
      <c r="AI6" s="246"/>
      <c r="AJ6" s="246"/>
      <c r="AK6" s="246"/>
      <c r="AL6" s="246"/>
      <c r="AM6" s="246"/>
      <c r="AN6" s="246"/>
      <c r="AO6" s="246"/>
      <c r="AP6" s="246"/>
      <c r="AQ6" s="246"/>
      <c r="AS6" s="232">
        <f t="shared" si="1"/>
        <v>2</v>
      </c>
      <c r="AT6" s="278">
        <f t="shared" ref="AT6:AT72" si="5">IF(ISNUMBER(AS6),AW5,0)</f>
        <v>85.106382978723403</v>
      </c>
      <c r="AU6" s="278"/>
      <c r="AV6" s="278">
        <f t="shared" si="2"/>
        <v>16.170212765957448</v>
      </c>
      <c r="AW6" s="278">
        <f t="shared" ref="AW6:AW72" si="6">AT6</f>
        <v>85.106382978723403</v>
      </c>
      <c r="AX6" s="232">
        <f t="shared" si="3"/>
        <v>16.170212765957448</v>
      </c>
      <c r="AY6" s="279">
        <f t="shared" si="0"/>
        <v>5.5013210766133191E-2</v>
      </c>
      <c r="AZ6" s="232">
        <f t="shared" si="4"/>
        <v>4.9898603869508562E-2</v>
      </c>
      <c r="BA6" s="232"/>
    </row>
    <row r="7" spans="1:54" ht="20.5" customHeight="1" x14ac:dyDescent="0.2">
      <c r="A7" s="246"/>
      <c r="B7" s="576" t="s">
        <v>573</v>
      </c>
      <c r="C7" s="301" t="s">
        <v>528</v>
      </c>
      <c r="D7" s="139">
        <v>0.05</v>
      </c>
      <c r="E7" s="234"/>
      <c r="F7" s="321" t="s">
        <v>532</v>
      </c>
      <c r="G7" s="338">
        <v>0.54212454212454209</v>
      </c>
      <c r="H7" s="236"/>
      <c r="I7" s="321" t="s">
        <v>536</v>
      </c>
      <c r="J7" s="381">
        <v>0.29099999999999998</v>
      </c>
      <c r="K7" s="314"/>
      <c r="L7" s="321" t="s">
        <v>397</v>
      </c>
      <c r="M7" s="324"/>
      <c r="N7" s="244"/>
      <c r="O7" s="238"/>
      <c r="P7" s="246"/>
      <c r="Q7" s="247"/>
      <c r="R7" s="238"/>
      <c r="S7" s="238"/>
      <c r="T7" s="238"/>
      <c r="U7" s="318"/>
      <c r="V7" s="238"/>
      <c r="W7" s="244"/>
      <c r="X7" s="238"/>
      <c r="Y7" s="246"/>
      <c r="Z7" s="360" t="s">
        <v>560</v>
      </c>
      <c r="AA7" s="361"/>
      <c r="AB7" s="362">
        <f>$G$7*$G$8*$G$9*G$18*$J8</f>
        <v>4.7490109890109882E-3</v>
      </c>
      <c r="AC7" s="247"/>
      <c r="AD7" s="591"/>
      <c r="AE7" s="575"/>
      <c r="AF7" s="246"/>
      <c r="AG7" s="246"/>
      <c r="AH7" s="246"/>
      <c r="AI7" s="246"/>
      <c r="AJ7" s="246"/>
      <c r="AK7" s="246"/>
      <c r="AL7" s="246"/>
      <c r="AM7" s="246"/>
      <c r="AN7" s="246"/>
      <c r="AO7" s="246"/>
      <c r="AP7" s="246"/>
      <c r="AQ7" s="246"/>
      <c r="AS7" s="232">
        <f t="shared" si="1"/>
        <v>3</v>
      </c>
      <c r="AT7" s="278">
        <f>IF(ISNUMBER(AS7),AW6,0)</f>
        <v>85.106382978723403</v>
      </c>
      <c r="AU7" s="278"/>
      <c r="AV7" s="278">
        <f t="shared" si="2"/>
        <v>16.170212765957448</v>
      </c>
      <c r="AW7" s="278">
        <f t="shared" si="6"/>
        <v>85.106382978723403</v>
      </c>
      <c r="AX7" s="232">
        <f t="shared" si="3"/>
        <v>16.170212765957448</v>
      </c>
      <c r="AY7" s="279">
        <f t="shared" si="0"/>
        <v>5.5013210766133191E-2</v>
      </c>
      <c r="AZ7" s="232">
        <f t="shared" si="4"/>
        <v>4.7522479875722438E-2</v>
      </c>
      <c r="BA7" s="232"/>
    </row>
    <row r="8" spans="1:54" ht="25" customHeight="1" thickBot="1" x14ac:dyDescent="0.25">
      <c r="A8" s="246"/>
      <c r="B8" s="576"/>
      <c r="C8" s="294"/>
      <c r="D8" s="294"/>
      <c r="E8" s="273"/>
      <c r="F8" s="323" t="s">
        <v>534</v>
      </c>
      <c r="G8" s="245">
        <v>0.6</v>
      </c>
      <c r="H8" s="237"/>
      <c r="I8" s="312" t="s">
        <v>537</v>
      </c>
      <c r="J8" s="379">
        <v>0.14599999999999999</v>
      </c>
      <c r="K8" s="315"/>
      <c r="L8" s="312" t="s">
        <v>391</v>
      </c>
      <c r="M8" s="313"/>
      <c r="N8" s="244"/>
      <c r="O8" s="238"/>
      <c r="P8" s="246"/>
      <c r="Q8" s="577" t="s">
        <v>413</v>
      </c>
      <c r="R8" s="238"/>
      <c r="S8" s="460" t="s">
        <v>246</v>
      </c>
      <c r="T8" s="578" t="s">
        <v>562</v>
      </c>
      <c r="U8" s="578"/>
      <c r="V8" s="578" t="s">
        <v>446</v>
      </c>
      <c r="W8" s="662"/>
      <c r="X8" s="238"/>
      <c r="Y8" s="246"/>
      <c r="Z8" s="360" t="s">
        <v>566</v>
      </c>
      <c r="AA8" s="361"/>
      <c r="AB8" s="362">
        <f>$G$7*$G$8*$G$9*G$18/M18</f>
        <v>1.6263736263736263E-2</v>
      </c>
      <c r="AC8" s="374"/>
      <c r="AD8" s="375" t="s">
        <v>124</v>
      </c>
      <c r="AE8" s="376">
        <f>(AE6*U37)/S5</f>
        <v>20</v>
      </c>
      <c r="AF8" s="246"/>
      <c r="AG8" s="246"/>
      <c r="AH8" s="246"/>
      <c r="AI8" s="246"/>
      <c r="AJ8" s="246"/>
      <c r="AK8" s="246"/>
      <c r="AL8" s="246"/>
      <c r="AM8" s="246"/>
      <c r="AN8" s="246"/>
      <c r="AO8" s="246"/>
      <c r="AP8" s="246"/>
      <c r="AQ8" s="246"/>
      <c r="AS8" s="232">
        <f t="shared" si="1"/>
        <v>4</v>
      </c>
      <c r="AT8" s="278">
        <f t="shared" si="5"/>
        <v>85.106382978723403</v>
      </c>
      <c r="AU8" s="278"/>
      <c r="AV8" s="278">
        <f t="shared" si="2"/>
        <v>16.170212765957448</v>
      </c>
      <c r="AW8" s="278">
        <f t="shared" si="6"/>
        <v>85.106382978723403</v>
      </c>
      <c r="AX8" s="232">
        <f t="shared" si="3"/>
        <v>16.170212765957448</v>
      </c>
      <c r="AY8" s="279">
        <f t="shared" si="0"/>
        <v>5.5013210766133191E-2</v>
      </c>
      <c r="AZ8" s="232">
        <f t="shared" si="4"/>
        <v>4.5259504643545181E-2</v>
      </c>
      <c r="BA8" s="232"/>
    </row>
    <row r="9" spans="1:54" ht="33" x14ac:dyDescent="0.2">
      <c r="A9" s="246"/>
      <c r="B9" s="576"/>
      <c r="C9" s="581" t="s">
        <v>542</v>
      </c>
      <c r="D9" s="581"/>
      <c r="E9" s="234"/>
      <c r="F9" s="312" t="s">
        <v>440</v>
      </c>
      <c r="G9" s="313">
        <v>0.5</v>
      </c>
      <c r="H9" s="237"/>
      <c r="I9" s="312" t="s">
        <v>386</v>
      </c>
      <c r="J9" s="379">
        <v>1.08</v>
      </c>
      <c r="K9" s="315"/>
      <c r="L9" s="312" t="s">
        <v>392</v>
      </c>
      <c r="M9" s="313"/>
      <c r="N9" s="244"/>
      <c r="O9" s="238"/>
      <c r="P9" s="246"/>
      <c r="Q9" s="577"/>
      <c r="R9" s="253" t="s">
        <v>572</v>
      </c>
      <c r="S9" s="468">
        <f>J11*($T$5*AB13*J14*J7+$V$5*(J7*$G$13))</f>
        <v>1.143679683660442E-2</v>
      </c>
      <c r="T9" s="582">
        <f>S9/(J16/J9)</f>
        <v>1.9179721403001202E-2</v>
      </c>
      <c r="U9" s="582"/>
      <c r="V9" s="663">
        <f>($G$10*$U$37)/T9</f>
        <v>1876.805793070024</v>
      </c>
      <c r="W9" s="664"/>
      <c r="X9" s="238"/>
      <c r="Y9" s="387"/>
      <c r="Z9" s="585" t="s">
        <v>288</v>
      </c>
      <c r="AA9" s="586"/>
      <c r="AB9" s="411">
        <v>0.05</v>
      </c>
      <c r="AC9" s="246"/>
      <c r="AD9" s="246"/>
      <c r="AE9" s="388"/>
      <c r="AF9" s="246"/>
      <c r="AG9" s="246"/>
      <c r="AH9" s="246"/>
      <c r="AI9" s="246"/>
      <c r="AJ9" s="246"/>
      <c r="AK9" s="246"/>
      <c r="AL9" s="246"/>
      <c r="AM9" s="246"/>
      <c r="AN9" s="246"/>
      <c r="AO9" s="246"/>
      <c r="AP9" s="246"/>
      <c r="AQ9" s="246"/>
      <c r="AS9" s="232">
        <f t="shared" si="1"/>
        <v>5</v>
      </c>
      <c r="AT9" s="278">
        <f t="shared" si="5"/>
        <v>85.106382978723403</v>
      </c>
      <c r="AU9" s="278"/>
      <c r="AV9" s="278">
        <f t="shared" si="2"/>
        <v>16.170212765957448</v>
      </c>
      <c r="AW9" s="278">
        <f t="shared" si="6"/>
        <v>85.106382978723403</v>
      </c>
      <c r="AX9" s="232">
        <f>IF(ISNUMBER(AS10),SUM(AU9:AV9),SUM(AU9:AW9))</f>
        <v>16.170212765957448</v>
      </c>
      <c r="AY9" s="279">
        <f t="shared" si="0"/>
        <v>5.5013210766133191E-2</v>
      </c>
      <c r="AZ9" s="232">
        <f t="shared" si="4"/>
        <v>4.3104290136709696E-2</v>
      </c>
      <c r="BA9" s="232"/>
    </row>
    <row r="10" spans="1:54" ht="39.75" customHeight="1" x14ac:dyDescent="0.2">
      <c r="A10" s="246"/>
      <c r="B10" s="576"/>
      <c r="C10" s="291" t="s">
        <v>531</v>
      </c>
      <c r="D10" s="292">
        <v>0.19</v>
      </c>
      <c r="E10" s="284"/>
      <c r="F10" s="312" t="s">
        <v>231</v>
      </c>
      <c r="G10" s="503">
        <v>0.98553353151599676</v>
      </c>
      <c r="H10" s="285"/>
      <c r="I10" s="312" t="s">
        <v>387</v>
      </c>
      <c r="J10" s="379">
        <v>1</v>
      </c>
      <c r="K10" s="315"/>
      <c r="L10" s="312" t="s">
        <v>406</v>
      </c>
      <c r="M10" s="313"/>
      <c r="N10" s="244"/>
      <c r="O10" s="238"/>
      <c r="P10" s="246"/>
      <c r="Q10" s="577"/>
      <c r="R10" s="253" t="s">
        <v>14</v>
      </c>
      <c r="S10" s="468">
        <f>J18*($T$5*AB14*J15*J8+$V$5*(J8*$G$13))</f>
        <v>5.1096666875511763E-3</v>
      </c>
      <c r="T10" s="582">
        <f>S10/(J17/J10)</f>
        <v>5.8064394176717913E-3</v>
      </c>
      <c r="U10" s="582"/>
      <c r="V10" s="663">
        <f>($G$10*$U$37)/T10</f>
        <v>6199.4295728061434</v>
      </c>
      <c r="W10" s="664"/>
      <c r="X10" s="238"/>
      <c r="Y10" s="246"/>
      <c r="Z10" s="592" t="s">
        <v>289</v>
      </c>
      <c r="AA10" s="593"/>
      <c r="AB10" s="377" t="s">
        <v>287</v>
      </c>
      <c r="AC10" s="246"/>
      <c r="AD10" s="387"/>
      <c r="AE10" s="388"/>
      <c r="AF10" s="246"/>
      <c r="AG10" s="246"/>
      <c r="AH10" s="246"/>
      <c r="AI10" s="246"/>
      <c r="AJ10" s="246"/>
      <c r="AK10" s="246"/>
      <c r="AL10" s="246"/>
      <c r="AM10" s="246"/>
      <c r="AN10" s="246"/>
      <c r="AO10" s="246"/>
      <c r="AP10" s="246"/>
      <c r="AQ10" s="246"/>
      <c r="AS10" s="232">
        <f t="shared" si="1"/>
        <v>6</v>
      </c>
      <c r="AT10" s="278">
        <f>IF(ISNUMBER(AS10),AW9,0)</f>
        <v>85.106382978723403</v>
      </c>
      <c r="AU10" s="278"/>
      <c r="AV10" s="278">
        <f t="shared" si="2"/>
        <v>16.170212765957448</v>
      </c>
      <c r="AW10" s="278">
        <f t="shared" si="6"/>
        <v>85.106382978723403</v>
      </c>
      <c r="AX10" s="232">
        <f>IF(ISNUMBER(AS11),SUM(AU10:AV10),SUM(AU10:AW10))</f>
        <v>16.170212765957448</v>
      </c>
      <c r="AY10" s="279">
        <f t="shared" si="0"/>
        <v>5.5013210766133191E-2</v>
      </c>
      <c r="AZ10" s="232">
        <f t="shared" si="4"/>
        <v>4.1051704892104475E-2</v>
      </c>
      <c r="BA10" s="232"/>
    </row>
    <row r="11" spans="1:54" ht="33" customHeight="1" x14ac:dyDescent="0.2">
      <c r="A11" s="246"/>
      <c r="B11" s="576"/>
      <c r="C11" s="298" t="s">
        <v>533</v>
      </c>
      <c r="D11" s="299">
        <v>0.4</v>
      </c>
      <c r="E11" s="235"/>
      <c r="F11" s="312" t="s">
        <v>241</v>
      </c>
      <c r="G11" s="503">
        <v>1.2</v>
      </c>
      <c r="H11" s="238"/>
      <c r="I11" s="312" t="s">
        <v>230</v>
      </c>
      <c r="J11" s="379">
        <v>1.2</v>
      </c>
      <c r="K11" s="315"/>
      <c r="L11" s="312" t="s">
        <v>405</v>
      </c>
      <c r="M11" s="313"/>
      <c r="N11" s="244"/>
      <c r="O11" s="246"/>
      <c r="P11" s="246"/>
      <c r="Q11" s="577"/>
      <c r="R11" s="253" t="s">
        <v>566</v>
      </c>
      <c r="S11" s="468" t="s">
        <v>120</v>
      </c>
      <c r="T11" s="582">
        <f>(1/S37)*(1/M18)*T5*AB15+(1/R37)*U37*G10</f>
        <v>1.6718703948282215E-2</v>
      </c>
      <c r="U11" s="582">
        <f>(1/S37)*(1/M18)*T5+1/R37*(G10*S5)</f>
        <v>4.6610411720768652E-3</v>
      </c>
      <c r="V11" s="663">
        <f>($G$10*$U$37)/T11</f>
        <v>2153.0743262141623</v>
      </c>
      <c r="W11" s="664"/>
      <c r="X11" s="238"/>
      <c r="Y11" s="246"/>
      <c r="Z11" s="247"/>
      <c r="AA11" s="238"/>
      <c r="AB11" s="244"/>
      <c r="AC11" s="246"/>
      <c r="AD11" s="246"/>
      <c r="AE11" s="246"/>
      <c r="AF11" s="246"/>
      <c r="AG11" s="246"/>
      <c r="AH11" s="246"/>
      <c r="AI11" s="246"/>
      <c r="AJ11" s="246"/>
      <c r="AK11" s="246"/>
      <c r="AL11" s="246"/>
      <c r="AM11" s="246"/>
      <c r="AN11" s="246"/>
      <c r="AO11" s="246"/>
      <c r="AP11" s="246"/>
      <c r="AQ11" s="246"/>
      <c r="AS11" s="232">
        <f t="shared" si="1"/>
        <v>7</v>
      </c>
      <c r="AT11" s="278">
        <f>IF(ISNUMBER(AS11),AW10,0)</f>
        <v>85.106382978723403</v>
      </c>
      <c r="AU11" s="278"/>
      <c r="AV11" s="278">
        <f t="shared" si="2"/>
        <v>16.170212765957448</v>
      </c>
      <c r="AW11" s="278">
        <f t="shared" si="6"/>
        <v>85.106382978723403</v>
      </c>
      <c r="AX11" s="232">
        <f>IF(ISNUMBER(AS12),SUM(AU11:AV11),SUM(AU11:AW11))</f>
        <v>16.170212765957448</v>
      </c>
      <c r="AY11" s="279">
        <f t="shared" si="0"/>
        <v>5.5013210766133191E-2</v>
      </c>
      <c r="AZ11" s="232">
        <f t="shared" si="4"/>
        <v>3.9096861802004251E-2</v>
      </c>
      <c r="BA11" s="232"/>
    </row>
    <row r="12" spans="1:54" ht="22.75" customHeight="1" thickBot="1" x14ac:dyDescent="0.25">
      <c r="A12" s="246"/>
      <c r="B12" s="247"/>
      <c r="C12" s="241"/>
      <c r="D12" s="240"/>
      <c r="E12" s="234"/>
      <c r="F12" s="390"/>
      <c r="G12" s="391"/>
      <c r="H12" s="241"/>
      <c r="I12" s="241"/>
      <c r="J12" s="380"/>
      <c r="K12" s="238"/>
      <c r="L12" s="312" t="s">
        <v>399</v>
      </c>
      <c r="M12" s="313"/>
      <c r="N12" s="244"/>
      <c r="O12" s="238"/>
      <c r="P12" s="246"/>
      <c r="Q12" s="293"/>
      <c r="R12" s="253" t="s">
        <v>396</v>
      </c>
      <c r="S12" s="468">
        <f>T6*M12</f>
        <v>0</v>
      </c>
      <c r="T12" s="582" t="e">
        <f>M13*S12/(M7/M10)</f>
        <v>#DIV/0!</v>
      </c>
      <c r="U12" s="582"/>
      <c r="V12" s="594" t="s">
        <v>120</v>
      </c>
      <c r="W12" s="595"/>
      <c r="X12" s="238"/>
      <c r="Y12" s="246"/>
      <c r="Z12" s="363" t="s">
        <v>286</v>
      </c>
      <c r="AA12" s="358"/>
      <c r="AB12" s="364"/>
      <c r="AC12" s="246"/>
      <c r="AD12" s="246"/>
      <c r="AE12" s="246"/>
      <c r="AF12" s="246"/>
      <c r="AG12" s="246"/>
      <c r="AH12" s="246"/>
      <c r="AI12" s="246"/>
      <c r="AJ12" s="246"/>
      <c r="AK12" s="246"/>
      <c r="AL12" s="246"/>
      <c r="AM12" s="246"/>
      <c r="AN12" s="246"/>
      <c r="AO12" s="246"/>
      <c r="AP12" s="246"/>
      <c r="AQ12" s="246"/>
      <c r="AS12" s="232">
        <f t="shared" si="1"/>
        <v>8</v>
      </c>
      <c r="AT12" s="278">
        <f>IF(ISNUMBER(AS12),AW11,0)</f>
        <v>85.106382978723403</v>
      </c>
      <c r="AU12" s="278"/>
      <c r="AV12" s="278">
        <f t="shared" si="2"/>
        <v>16.170212765957448</v>
      </c>
      <c r="AW12" s="278">
        <f t="shared" si="6"/>
        <v>85.106382978723403</v>
      </c>
      <c r="AX12" s="232">
        <f>IF(ISNUMBER(AS13),SUM(AU12:AV12),SUM(AU12:AW12))</f>
        <v>16.170212765957448</v>
      </c>
      <c r="AY12" s="279">
        <f t="shared" si="0"/>
        <v>5.5013210766133191E-2</v>
      </c>
      <c r="AZ12" s="232">
        <f t="shared" si="4"/>
        <v>3.7235106478099293E-2</v>
      </c>
      <c r="BA12" s="232"/>
    </row>
    <row r="13" spans="1:54" ht="30.75" customHeight="1" x14ac:dyDescent="0.2">
      <c r="A13" s="246"/>
      <c r="B13" s="247"/>
      <c r="C13" s="241"/>
      <c r="D13" s="240"/>
      <c r="E13" s="234"/>
      <c r="F13" s="461" t="s">
        <v>80</v>
      </c>
      <c r="G13" s="507">
        <v>2</v>
      </c>
      <c r="H13" s="238"/>
      <c r="I13" s="241"/>
      <c r="J13" s="380"/>
      <c r="K13" s="238"/>
      <c r="L13" s="312" t="s">
        <v>398</v>
      </c>
      <c r="M13" s="313"/>
      <c r="N13" s="244"/>
      <c r="O13" s="238"/>
      <c r="P13" s="246"/>
      <c r="Q13" s="596" t="s">
        <v>122</v>
      </c>
      <c r="R13" s="457" t="s">
        <v>442</v>
      </c>
      <c r="S13" s="457" t="s">
        <v>563</v>
      </c>
      <c r="T13" s="569" t="s">
        <v>564</v>
      </c>
      <c r="U13" s="569"/>
      <c r="V13" s="569" t="s">
        <v>562</v>
      </c>
      <c r="W13" s="570"/>
      <c r="X13" s="238"/>
      <c r="Y13" s="246"/>
      <c r="Z13" s="360" t="s">
        <v>570</v>
      </c>
      <c r="AA13" s="361"/>
      <c r="AB13" s="365">
        <f>IF($AB$10="Yes",MAX(AB6,$AB$9),AB6)/AB6</f>
        <v>1</v>
      </c>
      <c r="AC13" s="246"/>
      <c r="AD13" s="246"/>
      <c r="AE13" s="246"/>
      <c r="AF13" s="246"/>
      <c r="AG13" s="246"/>
      <c r="AH13" s="246"/>
      <c r="AI13" s="246"/>
      <c r="AJ13" s="246"/>
      <c r="AK13" s="246"/>
      <c r="AL13" s="246"/>
      <c r="AM13" s="246"/>
      <c r="AN13" s="246"/>
      <c r="AO13" s="246"/>
      <c r="AP13" s="246"/>
      <c r="AQ13" s="246"/>
      <c r="AS13" s="232">
        <f t="shared" si="1"/>
        <v>9</v>
      </c>
      <c r="AT13" s="278">
        <f>IF(ISNUMBER(AS13),AW12,0)</f>
        <v>85.106382978723403</v>
      </c>
      <c r="AU13" s="278"/>
      <c r="AV13" s="278">
        <f t="shared" si="2"/>
        <v>16.170212765957448</v>
      </c>
      <c r="AW13" s="278">
        <f t="shared" si="6"/>
        <v>85.106382978723403</v>
      </c>
      <c r="AX13" s="232">
        <f t="shared" si="3"/>
        <v>16.170212765957448</v>
      </c>
      <c r="AY13" s="279">
        <f t="shared" si="0"/>
        <v>5.5013210766133191E-2</v>
      </c>
      <c r="AZ13" s="232">
        <f t="shared" si="4"/>
        <v>3.5462006169618372E-2</v>
      </c>
      <c r="BA13" s="232"/>
    </row>
    <row r="14" spans="1:54" ht="21" customHeight="1" thickBot="1" x14ac:dyDescent="0.25">
      <c r="A14" s="246"/>
      <c r="B14" s="597" t="s">
        <v>366</v>
      </c>
      <c r="C14" s="598" t="s">
        <v>529</v>
      </c>
      <c r="D14" s="600">
        <v>15</v>
      </c>
      <c r="E14" s="235"/>
      <c r="F14" s="598" t="s">
        <v>530</v>
      </c>
      <c r="G14" s="600">
        <v>1.8268850000000001E-3</v>
      </c>
      <c r="H14" s="238"/>
      <c r="I14" s="300" t="s">
        <v>539</v>
      </c>
      <c r="J14" s="382">
        <v>1</v>
      </c>
      <c r="K14" s="316"/>
      <c r="L14" s="312" t="s">
        <v>400</v>
      </c>
      <c r="M14" s="313"/>
      <c r="N14" s="244"/>
      <c r="O14" s="238"/>
      <c r="P14" s="246"/>
      <c r="Q14" s="577"/>
      <c r="R14" s="462">
        <f>BA5</f>
        <v>0.69040926423095395</v>
      </c>
      <c r="S14" s="462">
        <f>AZ4</f>
        <v>0.36913541566724817</v>
      </c>
      <c r="T14" s="602">
        <f>R14+S14</f>
        <v>1.059544679898202</v>
      </c>
      <c r="U14" s="602"/>
      <c r="V14" s="582">
        <f>T14/(Milan!Q37/Milan!D16)</f>
        <v>4.2079816962157096E-3</v>
      </c>
      <c r="W14" s="603"/>
      <c r="X14" s="238"/>
      <c r="Y14" s="387"/>
      <c r="Z14" s="360" t="s">
        <v>560</v>
      </c>
      <c r="AA14" s="361"/>
      <c r="AB14" s="365">
        <f>IF($AB$10="Yes",MAX(AB7,$AB$9),AB7)/AB7</f>
        <v>1</v>
      </c>
      <c r="AC14" s="246"/>
      <c r="AD14" s="246"/>
      <c r="AE14" s="246"/>
      <c r="AF14" s="246"/>
      <c r="AG14" s="246"/>
      <c r="AH14" s="246"/>
      <c r="AI14" s="246"/>
      <c r="AJ14" s="246"/>
      <c r="AK14" s="246"/>
      <c r="AL14" s="246"/>
      <c r="AM14" s="246"/>
      <c r="AN14" s="246"/>
      <c r="AO14" s="246"/>
      <c r="AP14" s="246"/>
      <c r="AQ14" s="246"/>
      <c r="AS14" s="232">
        <f t="shared" si="1"/>
        <v>10</v>
      </c>
      <c r="AT14" s="278">
        <f t="shared" si="5"/>
        <v>85.106382978723403</v>
      </c>
      <c r="AU14" s="278"/>
      <c r="AV14" s="278">
        <f t="shared" si="2"/>
        <v>16.170212765957448</v>
      </c>
      <c r="AW14" s="278">
        <f t="shared" si="6"/>
        <v>85.106382978723403</v>
      </c>
      <c r="AX14" s="232">
        <f t="shared" si="3"/>
        <v>16.170212765957448</v>
      </c>
      <c r="AY14" s="279">
        <f t="shared" si="0"/>
        <v>5.5013210766133191E-2</v>
      </c>
      <c r="AZ14" s="232">
        <f t="shared" si="4"/>
        <v>3.3773339209160355E-2</v>
      </c>
      <c r="BA14" s="232"/>
    </row>
    <row r="15" spans="1:54" ht="21" customHeight="1" thickBot="1" x14ac:dyDescent="0.25">
      <c r="A15" s="246"/>
      <c r="B15" s="597"/>
      <c r="C15" s="599"/>
      <c r="D15" s="601"/>
      <c r="E15" s="235"/>
      <c r="F15" s="599"/>
      <c r="G15" s="601"/>
      <c r="H15" s="238"/>
      <c r="I15" s="300" t="s">
        <v>538</v>
      </c>
      <c r="J15" s="383">
        <v>0.8</v>
      </c>
      <c r="K15" s="316"/>
      <c r="L15" s="322" t="s">
        <v>403</v>
      </c>
      <c r="M15" s="337"/>
      <c r="N15" s="244"/>
      <c r="O15" s="238"/>
      <c r="P15" s="246"/>
      <c r="Q15" s="463" t="s">
        <v>129</v>
      </c>
      <c r="R15" s="415"/>
      <c r="S15" s="465" t="s">
        <v>561</v>
      </c>
      <c r="T15" s="604" t="s">
        <v>560</v>
      </c>
      <c r="U15" s="605"/>
      <c r="V15" s="465" t="s">
        <v>566</v>
      </c>
      <c r="W15" s="430" t="s">
        <v>576</v>
      </c>
      <c r="X15" s="238"/>
      <c r="Y15" s="387"/>
      <c r="Z15" s="366" t="s">
        <v>566</v>
      </c>
      <c r="AA15" s="367"/>
      <c r="AB15" s="368">
        <f>IF($AB$10="Yes",MAX(AB8,$AB$9),AB8)/AB8</f>
        <v>1</v>
      </c>
      <c r="AC15" s="246"/>
      <c r="AD15" s="246"/>
      <c r="AE15" s="246"/>
      <c r="AF15" s="246"/>
      <c r="AG15" s="246"/>
      <c r="AH15" s="246"/>
      <c r="AI15" s="246"/>
      <c r="AJ15" s="246"/>
      <c r="AK15" s="246"/>
      <c r="AL15" s="246"/>
      <c r="AM15" s="246"/>
      <c r="AN15" s="246"/>
      <c r="AO15" s="246"/>
      <c r="AP15" s="246"/>
      <c r="AQ15" s="246"/>
      <c r="AS15" s="232">
        <f t="shared" si="1"/>
        <v>11</v>
      </c>
      <c r="AT15" s="278">
        <f t="shared" si="5"/>
        <v>85.106382978723403</v>
      </c>
      <c r="AU15" s="278"/>
      <c r="AV15" s="278">
        <f t="shared" si="2"/>
        <v>16.170212765957448</v>
      </c>
      <c r="AW15" s="278">
        <f t="shared" si="6"/>
        <v>85.106382978723403</v>
      </c>
      <c r="AX15" s="232">
        <f>IF(ISNUMBER(AS16),SUM(AU15:AV15),SUM(AU15:AW15))</f>
        <v>16.170212765957448</v>
      </c>
      <c r="AY15" s="279">
        <f t="shared" si="0"/>
        <v>5.5013210766133191E-2</v>
      </c>
      <c r="AZ15" s="232">
        <f t="shared" si="4"/>
        <v>3.2165084961105102E-2</v>
      </c>
      <c r="BA15" s="232"/>
    </row>
    <row r="16" spans="1:54" ht="21" customHeight="1" x14ac:dyDescent="0.2">
      <c r="A16" s="246"/>
      <c r="B16" s="597"/>
      <c r="C16" s="606" t="s">
        <v>547</v>
      </c>
      <c r="D16" s="608">
        <v>0.84499999999999997</v>
      </c>
      <c r="E16" s="235"/>
      <c r="F16" s="606" t="s">
        <v>345</v>
      </c>
      <c r="G16" s="610">
        <v>15</v>
      </c>
      <c r="H16" s="238"/>
      <c r="I16" s="296" t="s">
        <v>556</v>
      </c>
      <c r="J16" s="384">
        <f>0.56*1.15</f>
        <v>0.64400000000000002</v>
      </c>
      <c r="K16" s="317"/>
      <c r="L16" s="238"/>
      <c r="M16" s="238"/>
      <c r="N16" s="244"/>
      <c r="O16" s="238"/>
      <c r="P16" s="246"/>
      <c r="Q16" s="459"/>
      <c r="R16" s="413" t="s">
        <v>126</v>
      </c>
      <c r="S16" s="490">
        <f>$T9/$T$9</f>
        <v>1</v>
      </c>
      <c r="T16" s="612">
        <f>$T9/$T$10</f>
        <v>3.3031811792659154</v>
      </c>
      <c r="U16" s="613"/>
      <c r="V16" s="490">
        <f>$T9/$T$11</f>
        <v>1.1472014494862712</v>
      </c>
      <c r="W16" s="491">
        <f>$T9/$V$14</f>
        <v>4.5579384102953124</v>
      </c>
      <c r="X16" s="238"/>
      <c r="Y16" s="387"/>
      <c r="Z16" s="246"/>
      <c r="AA16" s="246"/>
      <c r="AB16" s="246"/>
      <c r="AC16" s="246"/>
      <c r="AD16" s="246"/>
      <c r="AE16" s="246"/>
      <c r="AF16" s="246"/>
      <c r="AG16" s="246"/>
      <c r="AH16" s="246"/>
      <c r="AI16" s="246"/>
      <c r="AJ16" s="246"/>
      <c r="AK16" s="246"/>
      <c r="AL16" s="246"/>
      <c r="AM16" s="246"/>
      <c r="AN16" s="246"/>
      <c r="AO16" s="246"/>
      <c r="AP16" s="246"/>
      <c r="AQ16" s="246"/>
      <c r="AS16" s="232">
        <f t="shared" si="1"/>
        <v>12</v>
      </c>
      <c r="AT16" s="278">
        <f t="shared" si="5"/>
        <v>85.106382978723403</v>
      </c>
      <c r="AU16" s="278"/>
      <c r="AV16" s="278">
        <f t="shared" si="2"/>
        <v>16.170212765957448</v>
      </c>
      <c r="AW16" s="278">
        <f t="shared" si="6"/>
        <v>85.106382978723403</v>
      </c>
      <c r="AX16" s="232">
        <f t="shared" ref="AX16:AX81" si="7">IF(ISNUMBER(AS17),SUM(AU16:AV16),SUM(AU16:AW16))</f>
        <v>16.170212765957448</v>
      </c>
      <c r="AY16" s="279">
        <f t="shared" si="0"/>
        <v>5.5013210766133191E-2</v>
      </c>
      <c r="AZ16" s="232">
        <f t="shared" si="4"/>
        <v>3.0633414248671526E-2</v>
      </c>
      <c r="BA16" s="232"/>
    </row>
    <row r="17" spans="1:54" ht="31.75" customHeight="1" x14ac:dyDescent="0.2">
      <c r="A17" s="246"/>
      <c r="B17" s="597"/>
      <c r="C17" s="607"/>
      <c r="D17" s="609"/>
      <c r="E17" s="235"/>
      <c r="F17" s="599"/>
      <c r="G17" s="611"/>
      <c r="H17" s="238"/>
      <c r="I17" s="297" t="s">
        <v>535</v>
      </c>
      <c r="J17" s="385">
        <v>0.88</v>
      </c>
      <c r="K17" s="317"/>
      <c r="L17" s="614" t="s">
        <v>566</v>
      </c>
      <c r="M17" s="614"/>
      <c r="N17" s="244"/>
      <c r="O17" s="238"/>
      <c r="P17" s="246"/>
      <c r="Q17" s="459"/>
      <c r="R17" s="413" t="s">
        <v>127</v>
      </c>
      <c r="S17" s="490">
        <f>$T10/$T$9</f>
        <v>0.30273846505211549</v>
      </c>
      <c r="T17" s="612">
        <f>$T10/$T$10</f>
        <v>1</v>
      </c>
      <c r="U17" s="613"/>
      <c r="V17" s="490">
        <f>$T10/$T$11</f>
        <v>0.34730200592303578</v>
      </c>
      <c r="W17" s="491">
        <f>$T10/$V$14</f>
        <v>1.3798632781348823</v>
      </c>
      <c r="X17" s="238"/>
      <c r="Y17" s="387"/>
      <c r="Z17" s="246"/>
      <c r="AA17" s="246"/>
      <c r="AB17" s="246"/>
      <c r="AC17" s="246"/>
      <c r="AD17" s="246"/>
      <c r="AE17" s="246"/>
      <c r="AF17" s="246"/>
      <c r="AG17" s="246"/>
      <c r="AH17" s="246"/>
      <c r="AI17" s="246"/>
      <c r="AJ17" s="246"/>
      <c r="AK17" s="246"/>
      <c r="AL17" s="246"/>
      <c r="AM17" s="246"/>
      <c r="AN17" s="246"/>
      <c r="AO17" s="246"/>
      <c r="AP17" s="246"/>
      <c r="AQ17" s="246"/>
      <c r="AS17" s="232">
        <f>IF(AS16&lt;$D$14,AS16+1,"")</f>
        <v>13</v>
      </c>
      <c r="AT17" s="278">
        <f>IF(ISNUMBER(AS17),AW16,0)</f>
        <v>85.106382978723403</v>
      </c>
      <c r="AU17" s="278"/>
      <c r="AV17" s="278">
        <f t="shared" si="2"/>
        <v>16.170212765957448</v>
      </c>
      <c r="AW17" s="278">
        <f t="shared" si="6"/>
        <v>85.106382978723403</v>
      </c>
      <c r="AX17" s="232">
        <f>IF(ISNUMBER(AS18),SUM(AU17:AV17),SUM(AU17:AW17))</f>
        <v>16.170212765957448</v>
      </c>
      <c r="AY17" s="279">
        <f t="shared" si="0"/>
        <v>5.5013210766133191E-2</v>
      </c>
      <c r="AZ17" s="232">
        <f t="shared" si="4"/>
        <v>2.9174680236830019E-2</v>
      </c>
      <c r="BA17" s="232"/>
    </row>
    <row r="18" spans="1:54" ht="30.75" customHeight="1" x14ac:dyDescent="0.2">
      <c r="A18" s="246"/>
      <c r="B18" s="597"/>
      <c r="C18" s="238"/>
      <c r="D18" s="238"/>
      <c r="E18" s="235"/>
      <c r="F18" s="310" t="s">
        <v>372</v>
      </c>
      <c r="G18" s="308">
        <v>0.2</v>
      </c>
      <c r="H18" s="238"/>
      <c r="I18" s="307" t="s">
        <v>229</v>
      </c>
      <c r="J18" s="306">
        <v>1.3</v>
      </c>
      <c r="K18" s="316"/>
      <c r="L18" s="312" t="s">
        <v>78</v>
      </c>
      <c r="M18" s="137">
        <v>2</v>
      </c>
      <c r="N18" s="244"/>
      <c r="O18" s="238"/>
      <c r="P18" s="238"/>
      <c r="Q18" s="459"/>
      <c r="R18" s="413" t="s">
        <v>128</v>
      </c>
      <c r="S18" s="490">
        <f>$T11/$T$9</f>
        <v>0.87168648579358965</v>
      </c>
      <c r="T18" s="612">
        <f>$T11/$T$10</f>
        <v>2.8793383940938311</v>
      </c>
      <c r="U18" s="613"/>
      <c r="V18" s="490">
        <f>$T11/$T$11</f>
        <v>1</v>
      </c>
      <c r="W18" s="491">
        <f>$T11/$V$14</f>
        <v>3.9730933153339412</v>
      </c>
      <c r="X18" s="238"/>
      <c r="Y18" s="246"/>
      <c r="Z18" s="246"/>
      <c r="AA18" s="246"/>
      <c r="AB18" s="246"/>
      <c r="AC18" s="246"/>
      <c r="AD18" s="246"/>
      <c r="AE18" s="246"/>
      <c r="AF18" s="246"/>
      <c r="AG18" s="246"/>
      <c r="AH18" s="246"/>
      <c r="AI18" s="246"/>
      <c r="AJ18" s="246"/>
      <c r="AK18" s="246"/>
      <c r="AL18" s="246"/>
      <c r="AM18" s="246"/>
      <c r="AN18" s="246"/>
      <c r="AO18" s="246"/>
      <c r="AP18" s="246"/>
      <c r="AQ18" s="246"/>
      <c r="AS18" s="232">
        <f>IF(AS17&lt;$D$14,AS17+1,"")</f>
        <v>14</v>
      </c>
      <c r="AT18" s="278">
        <f>IF(ISNUMBER(AS18),AW17,0)</f>
        <v>85.106382978723403</v>
      </c>
      <c r="AU18" s="278"/>
      <c r="AV18" s="278">
        <f t="shared" si="2"/>
        <v>16.170212765957448</v>
      </c>
      <c r="AW18" s="278">
        <f t="shared" si="6"/>
        <v>85.106382978723403</v>
      </c>
      <c r="AX18" s="232">
        <f>IF(ISNUMBER(AS19),SUM(AU18:AV18),SUM(AU18:AW18))</f>
        <v>16.170212765957448</v>
      </c>
      <c r="AY18" s="279">
        <f t="shared" si="0"/>
        <v>5.5013210766133191E-2</v>
      </c>
      <c r="AZ18" s="232">
        <f t="shared" si="4"/>
        <v>2.7785409749361931E-2</v>
      </c>
      <c r="BA18" s="232"/>
    </row>
    <row r="19" spans="1:54" ht="21" customHeight="1" thickBot="1" x14ac:dyDescent="0.25">
      <c r="A19" s="246"/>
      <c r="B19" s="302"/>
      <c r="C19" s="239"/>
      <c r="D19" s="239"/>
      <c r="E19" s="239"/>
      <c r="F19" s="303"/>
      <c r="G19" s="304"/>
      <c r="H19" s="239"/>
      <c r="I19" s="239"/>
      <c r="J19" s="239"/>
      <c r="K19" s="239"/>
      <c r="L19" s="319"/>
      <c r="M19" s="239"/>
      <c r="N19" s="305"/>
      <c r="O19" s="238"/>
      <c r="P19" s="246"/>
      <c r="Q19" s="469"/>
      <c r="R19" s="414" t="s">
        <v>130</v>
      </c>
      <c r="S19" s="492">
        <f>$V14/$T$9</f>
        <v>0.21939743585416488</v>
      </c>
      <c r="T19" s="615">
        <f>$V14/$T$10</f>
        <v>0.72470948089267839</v>
      </c>
      <c r="U19" s="616"/>
      <c r="V19" s="492">
        <f>$V14/$T$11</f>
        <v>0.25169305642546919</v>
      </c>
      <c r="W19" s="493">
        <f>$V14/$V$14</f>
        <v>1</v>
      </c>
      <c r="X19" s="238"/>
      <c r="Y19" s="246"/>
      <c r="Z19" s="246"/>
      <c r="AA19" s="246"/>
      <c r="AB19" s="246"/>
      <c r="AC19" s="246"/>
      <c r="AD19" s="246"/>
      <c r="AE19" s="246"/>
      <c r="AF19" s="246"/>
      <c r="AG19" s="246"/>
      <c r="AH19" s="246"/>
      <c r="AI19" s="246"/>
      <c r="AJ19" s="246"/>
      <c r="AK19" s="246"/>
      <c r="AL19" s="246"/>
      <c r="AM19" s="246"/>
      <c r="AN19" s="246"/>
      <c r="AO19" s="246"/>
      <c r="AP19" s="246"/>
      <c r="AQ19" s="246"/>
      <c r="AS19" s="232">
        <f>IF(AS18&lt;$D$14,AS18+1,"")</f>
        <v>15</v>
      </c>
      <c r="AT19" s="278">
        <f>IF(ISNUMBER(AS19),AW18,0)</f>
        <v>85.106382978723403</v>
      </c>
      <c r="AU19" s="278"/>
      <c r="AV19" s="278">
        <f t="shared" si="2"/>
        <v>16.170212765957448</v>
      </c>
      <c r="AW19" s="278">
        <f t="shared" si="6"/>
        <v>85.106382978723403</v>
      </c>
      <c r="AX19" s="232">
        <f t="shared" si="7"/>
        <v>101.27659574468085</v>
      </c>
      <c r="AY19" s="279">
        <f t="shared" si="0"/>
        <v>0.30321841879297384</v>
      </c>
      <c r="AZ19" s="232">
        <f t="shared" si="4"/>
        <v>0.14585324389552878</v>
      </c>
      <c r="BA19" s="232"/>
    </row>
    <row r="20" spans="1:54" ht="9.75" customHeight="1" thickBot="1" x14ac:dyDescent="0.25">
      <c r="A20" s="246"/>
      <c r="B20" s="246"/>
      <c r="C20" s="246"/>
      <c r="D20" s="246"/>
      <c r="E20" s="246"/>
      <c r="F20" s="246"/>
      <c r="G20" s="246"/>
      <c r="H20" s="246"/>
      <c r="I20" s="246"/>
      <c r="J20" s="246"/>
      <c r="K20" s="246"/>
      <c r="L20" s="246"/>
      <c r="M20" s="246"/>
      <c r="N20" s="246"/>
      <c r="O20" s="246"/>
      <c r="P20" s="246"/>
      <c r="Q20" s="238"/>
      <c r="R20" s="238"/>
      <c r="S20" s="238"/>
      <c r="T20" s="238"/>
      <c r="U20" s="238"/>
      <c r="V20" s="238"/>
      <c r="W20" s="238"/>
      <c r="Y20" s="246"/>
      <c r="Z20" s="246"/>
      <c r="AA20" s="246"/>
      <c r="AB20" s="246"/>
      <c r="AC20" s="246"/>
      <c r="AD20" s="246"/>
      <c r="AE20" s="246"/>
      <c r="AF20" s="246"/>
      <c r="AG20" s="246"/>
      <c r="AH20" s="246"/>
      <c r="AI20" s="246"/>
      <c r="AJ20" s="246"/>
      <c r="AK20" s="246"/>
      <c r="AL20" s="246"/>
      <c r="AM20" s="246"/>
      <c r="AN20" s="246"/>
      <c r="AO20" s="246"/>
      <c r="AP20" s="246"/>
      <c r="AQ20" s="246"/>
      <c r="AS20" s="232" t="str">
        <f t="shared" si="1"/>
        <v/>
      </c>
      <c r="AT20" s="278">
        <f t="shared" si="5"/>
        <v>0</v>
      </c>
      <c r="AU20" s="278"/>
      <c r="AV20" s="278">
        <f t="shared" si="2"/>
        <v>0</v>
      </c>
      <c r="AW20" s="278">
        <f t="shared" si="6"/>
        <v>0</v>
      </c>
      <c r="AX20" s="232">
        <f>IF(ISNUMBER(AS21),SUM(AU20:AV20),SUM(AU20:AW20))</f>
        <v>0</v>
      </c>
      <c r="AY20" s="279">
        <f t="shared" si="0"/>
        <v>0</v>
      </c>
      <c r="AZ20" s="232">
        <f t="shared" si="4"/>
        <v>0</v>
      </c>
      <c r="BA20" s="232"/>
    </row>
    <row r="21" spans="1:54" ht="10.5" customHeight="1" x14ac:dyDescent="0.2">
      <c r="A21" s="246"/>
      <c r="B21" s="246"/>
      <c r="C21" s="246"/>
      <c r="D21" s="246"/>
      <c r="E21" s="238"/>
      <c r="F21" s="617" t="s">
        <v>562</v>
      </c>
      <c r="G21" s="257" t="s">
        <v>561</v>
      </c>
      <c r="H21" s="258"/>
      <c r="I21" s="487">
        <f>T9</f>
        <v>1.9179721403001202E-2</v>
      </c>
      <c r="J21" s="259"/>
      <c r="K21" s="260"/>
      <c r="L21" s="263"/>
      <c r="M21" s="263"/>
      <c r="N21" s="263"/>
      <c r="O21" s="263"/>
      <c r="P21" s="238"/>
      <c r="Q21" s="557" t="s">
        <v>285</v>
      </c>
      <c r="R21" s="621" t="s">
        <v>243</v>
      </c>
      <c r="S21" s="622"/>
      <c r="T21" s="355"/>
      <c r="U21" s="625" t="s">
        <v>281</v>
      </c>
      <c r="V21" s="625"/>
      <c r="W21" s="626"/>
      <c r="Y21" s="246"/>
      <c r="Z21" s="246"/>
      <c r="AA21" s="246"/>
      <c r="AB21" s="246"/>
      <c r="AC21" s="246"/>
      <c r="AD21" s="246"/>
      <c r="AE21" s="246"/>
      <c r="AF21" s="246"/>
      <c r="AG21" s="246"/>
      <c r="AH21" s="246"/>
      <c r="AI21" s="246"/>
      <c r="AJ21" s="246"/>
      <c r="AK21" s="246"/>
      <c r="AL21" s="246"/>
      <c r="AM21" s="246"/>
      <c r="AN21" s="246"/>
      <c r="AO21" s="246"/>
      <c r="AP21" s="246"/>
      <c r="AQ21" s="246"/>
      <c r="AS21" s="232" t="str">
        <f>IF(AS20&lt;$D$14,AS20+1,"")</f>
        <v/>
      </c>
      <c r="AT21" s="278">
        <f>IF(ISNUMBER(AS21),AW20,0)</f>
        <v>0</v>
      </c>
      <c r="AU21" s="278"/>
      <c r="AV21" s="278">
        <f t="shared" si="2"/>
        <v>0</v>
      </c>
      <c r="AW21" s="278">
        <f t="shared" si="6"/>
        <v>0</v>
      </c>
      <c r="AX21" s="232">
        <f t="shared" si="7"/>
        <v>0</v>
      </c>
      <c r="AY21" s="279">
        <f t="shared" si="0"/>
        <v>0</v>
      </c>
      <c r="AZ21" s="232">
        <f t="shared" si="4"/>
        <v>0</v>
      </c>
      <c r="BA21" s="232"/>
    </row>
    <row r="22" spans="1:54" ht="12" customHeight="1" thickBot="1" x14ac:dyDescent="0.25">
      <c r="A22" s="246"/>
      <c r="B22" s="246"/>
      <c r="C22" s="246"/>
      <c r="D22" s="246"/>
      <c r="E22" s="238"/>
      <c r="F22" s="618"/>
      <c r="G22" s="261" t="s">
        <v>560</v>
      </c>
      <c r="H22" s="262"/>
      <c r="I22" s="488">
        <f>T10</f>
        <v>5.8064394176717913E-3</v>
      </c>
      <c r="J22" s="263"/>
      <c r="K22" s="264"/>
      <c r="L22" s="263"/>
      <c r="M22" s="263"/>
      <c r="N22" s="263"/>
      <c r="O22" s="263"/>
      <c r="P22" s="238"/>
      <c r="Q22" s="619"/>
      <c r="R22" s="623"/>
      <c r="S22" s="624"/>
      <c r="T22" s="356"/>
      <c r="U22" s="627"/>
      <c r="V22" s="627"/>
      <c r="W22" s="628"/>
      <c r="Y22" s="246"/>
      <c r="Z22" s="246"/>
      <c r="AA22" s="246"/>
      <c r="AB22" s="246"/>
      <c r="AC22" s="246"/>
      <c r="AD22" s="246"/>
      <c r="AE22" s="246"/>
      <c r="AF22" s="246"/>
      <c r="AG22" s="246"/>
      <c r="AH22" s="246"/>
      <c r="AI22" s="246"/>
      <c r="AJ22" s="246"/>
      <c r="AK22" s="246"/>
      <c r="AL22" s="246"/>
      <c r="AM22" s="246"/>
      <c r="AN22" s="246"/>
      <c r="AO22" s="246"/>
      <c r="AP22" s="246"/>
      <c r="AQ22" s="246"/>
      <c r="AS22" s="232" t="str">
        <f t="shared" si="1"/>
        <v/>
      </c>
      <c r="AT22" s="278">
        <f t="shared" si="5"/>
        <v>0</v>
      </c>
      <c r="AU22" s="278"/>
      <c r="AV22" s="278">
        <f t="shared" si="2"/>
        <v>0</v>
      </c>
      <c r="AW22" s="278">
        <f t="shared" si="6"/>
        <v>0</v>
      </c>
      <c r="AX22" s="232">
        <f t="shared" si="7"/>
        <v>0</v>
      </c>
      <c r="AY22" s="279">
        <f t="shared" si="0"/>
        <v>0</v>
      </c>
      <c r="AZ22" s="232">
        <f t="shared" si="4"/>
        <v>0</v>
      </c>
      <c r="BA22" s="232"/>
    </row>
    <row r="23" spans="1:54" ht="10.75" customHeight="1" x14ac:dyDescent="0.2">
      <c r="A23" s="246"/>
      <c r="B23" s="565" t="s">
        <v>410</v>
      </c>
      <c r="C23" s="637"/>
      <c r="D23" s="637"/>
      <c r="E23" s="637"/>
      <c r="F23" s="618"/>
      <c r="G23" s="261" t="s">
        <v>390</v>
      </c>
      <c r="H23" s="262"/>
      <c r="I23" s="488" t="s">
        <v>120</v>
      </c>
      <c r="J23" s="263"/>
      <c r="K23" s="264"/>
      <c r="L23" s="263"/>
      <c r="M23" s="263"/>
      <c r="N23" s="263"/>
      <c r="O23" s="263"/>
      <c r="P23" s="238"/>
      <c r="Q23" s="619"/>
      <c r="R23" s="347" t="s">
        <v>566</v>
      </c>
      <c r="S23" s="494">
        <f>(R37/S37)*T5</f>
        <v>22.910935099730779</v>
      </c>
      <c r="T23" s="495"/>
      <c r="U23" s="496"/>
      <c r="V23" s="496"/>
      <c r="W23" s="497"/>
      <c r="Y23" s="246"/>
      <c r="Z23" s="246"/>
      <c r="AA23" s="246"/>
      <c r="AB23" s="246"/>
      <c r="AC23" s="246"/>
      <c r="AD23" s="246"/>
      <c r="AE23" s="246"/>
      <c r="AF23" s="246"/>
      <c r="AG23" s="246"/>
      <c r="AH23" s="246"/>
      <c r="AI23" s="246"/>
      <c r="AJ23" s="246"/>
      <c r="AK23" s="246"/>
      <c r="AL23" s="246"/>
      <c r="AM23" s="246"/>
      <c r="AN23" s="246"/>
      <c r="AO23" s="246"/>
      <c r="AP23" s="246"/>
      <c r="AQ23" s="246"/>
      <c r="AS23" s="232" t="str">
        <f t="shared" si="1"/>
        <v/>
      </c>
      <c r="AT23" s="278">
        <f t="shared" si="5"/>
        <v>0</v>
      </c>
      <c r="AU23" s="278"/>
      <c r="AV23" s="278">
        <f t="shared" si="2"/>
        <v>0</v>
      </c>
      <c r="AW23" s="278">
        <f t="shared" si="6"/>
        <v>0</v>
      </c>
      <c r="AX23" s="232">
        <f t="shared" si="7"/>
        <v>0</v>
      </c>
      <c r="AY23" s="279">
        <f t="shared" si="0"/>
        <v>0</v>
      </c>
      <c r="AZ23" s="232">
        <f t="shared" si="4"/>
        <v>0</v>
      </c>
      <c r="BA23" s="232"/>
    </row>
    <row r="24" spans="1:54" ht="12.75" customHeight="1" x14ac:dyDescent="0.2">
      <c r="A24" s="246"/>
      <c r="B24" s="638"/>
      <c r="C24" s="639"/>
      <c r="D24" s="639"/>
      <c r="E24" s="639"/>
      <c r="F24" s="618"/>
      <c r="G24" s="261" t="s">
        <v>542</v>
      </c>
      <c r="H24" s="262"/>
      <c r="I24" s="488">
        <f>V14</f>
        <v>4.2079816962157096E-3</v>
      </c>
      <c r="J24" s="263"/>
      <c r="K24" s="264"/>
      <c r="L24" s="263"/>
      <c r="M24" s="263"/>
      <c r="N24" s="263"/>
      <c r="O24" s="263"/>
      <c r="P24" s="238"/>
      <c r="Q24" s="619"/>
      <c r="R24" s="347" t="s">
        <v>570</v>
      </c>
      <c r="S24" s="494">
        <f>T9*$R$37</f>
        <v>54.437094714490684</v>
      </c>
      <c r="T24" s="495"/>
      <c r="U24" s="496" t="s">
        <v>570</v>
      </c>
      <c r="V24" s="496"/>
      <c r="W24" s="497">
        <f>S24/S$23</f>
        <v>2.3760311169110842</v>
      </c>
      <c r="Y24" s="246"/>
      <c r="Z24" s="246"/>
      <c r="AA24" s="246"/>
      <c r="AB24" s="246"/>
      <c r="AC24" s="246"/>
      <c r="AD24" s="246"/>
      <c r="AE24" s="246"/>
      <c r="AF24" s="246"/>
      <c r="AG24" s="246"/>
      <c r="AH24" s="246"/>
      <c r="AI24" s="246"/>
      <c r="AJ24" s="246"/>
      <c r="AK24" s="246"/>
      <c r="AL24" s="246"/>
      <c r="AM24" s="246"/>
      <c r="AN24" s="246"/>
      <c r="AO24" s="246"/>
      <c r="AP24" s="246"/>
      <c r="AQ24" s="246"/>
      <c r="AS24" s="232" t="str">
        <f t="shared" si="1"/>
        <v/>
      </c>
      <c r="AT24" s="278">
        <f t="shared" si="5"/>
        <v>0</v>
      </c>
      <c r="AU24" s="278"/>
      <c r="AV24" s="278">
        <f t="shared" si="2"/>
        <v>0</v>
      </c>
      <c r="AW24" s="278">
        <f t="shared" si="6"/>
        <v>0</v>
      </c>
      <c r="AX24" s="232">
        <f>IF(ISNUMBER(AS25),SUM(AU24:AV24),SUM(AU24:AW24))</f>
        <v>0</v>
      </c>
      <c r="AY24" s="279">
        <f t="shared" si="0"/>
        <v>0</v>
      </c>
      <c r="AZ24" s="232">
        <f t="shared" si="4"/>
        <v>0</v>
      </c>
      <c r="BA24" s="232"/>
    </row>
    <row r="25" spans="1:54" ht="14.5" customHeight="1" thickBot="1" x14ac:dyDescent="0.25">
      <c r="A25" s="246"/>
      <c r="B25" s="638"/>
      <c r="C25" s="639"/>
      <c r="D25" s="639"/>
      <c r="E25" s="639"/>
      <c r="F25" s="265" t="s">
        <v>574</v>
      </c>
      <c r="G25" s="266"/>
      <c r="H25" s="266"/>
      <c r="I25" s="267">
        <f>V14*J37</f>
        <v>1.2031557548903065</v>
      </c>
      <c r="J25" s="263"/>
      <c r="K25" s="264"/>
      <c r="L25" s="263"/>
      <c r="M25" s="263"/>
      <c r="N25" s="263"/>
      <c r="O25" s="263"/>
      <c r="P25" s="238"/>
      <c r="Q25" s="620"/>
      <c r="R25" s="347" t="s">
        <v>560</v>
      </c>
      <c r="S25" s="494">
        <f>T10*$R$37</f>
        <v>16.480202495761539</v>
      </c>
      <c r="T25" s="495"/>
      <c r="U25" s="496" t="s">
        <v>560</v>
      </c>
      <c r="V25" s="496"/>
      <c r="W25" s="497">
        <f>S25/S$23</f>
        <v>0.71931601324972516</v>
      </c>
      <c r="Y25" s="246"/>
      <c r="Z25" s="246"/>
      <c r="AA25" s="246"/>
      <c r="AB25" s="246"/>
      <c r="AC25" s="246"/>
      <c r="AD25" s="246"/>
      <c r="AE25" s="246"/>
      <c r="AF25" s="246"/>
      <c r="AG25" s="246"/>
      <c r="AH25" s="246"/>
      <c r="AI25" s="246"/>
      <c r="AJ25" s="246"/>
      <c r="AK25" s="246"/>
      <c r="AL25" s="246"/>
      <c r="AM25" s="246"/>
      <c r="AN25" s="246"/>
      <c r="AO25" s="246"/>
      <c r="AP25" s="246"/>
      <c r="AQ25" s="246"/>
      <c r="AS25" s="232" t="str">
        <f>IF(AS24&lt;$D$14,AS24+1,"")</f>
        <v/>
      </c>
      <c r="AT25" s="278">
        <f>IF(ISNUMBER(AS25),AW24,0)</f>
        <v>0</v>
      </c>
      <c r="AU25" s="278"/>
      <c r="AV25" s="278">
        <f t="shared" si="2"/>
        <v>0</v>
      </c>
      <c r="AW25" s="278">
        <f t="shared" si="6"/>
        <v>0</v>
      </c>
      <c r="AX25" s="232">
        <f t="shared" si="7"/>
        <v>0</v>
      </c>
      <c r="AY25" s="279">
        <f t="shared" si="0"/>
        <v>0</v>
      </c>
      <c r="AZ25" s="232">
        <f t="shared" si="4"/>
        <v>0</v>
      </c>
      <c r="BA25" s="232"/>
    </row>
    <row r="26" spans="1:54" ht="12" customHeight="1" thickBot="1" x14ac:dyDescent="0.25">
      <c r="A26" s="246"/>
      <c r="B26" s="567"/>
      <c r="C26" s="640"/>
      <c r="D26" s="640"/>
      <c r="E26" s="640"/>
      <c r="F26" s="247"/>
      <c r="G26" s="238"/>
      <c r="H26" s="238"/>
      <c r="I26" s="238"/>
      <c r="J26" s="238"/>
      <c r="K26" s="244"/>
      <c r="L26" s="238"/>
      <c r="M26" s="238"/>
      <c r="N26" s="238"/>
      <c r="O26" s="263"/>
      <c r="P26" s="238"/>
      <c r="Q26" s="238"/>
      <c r="R26" s="347" t="s">
        <v>390</v>
      </c>
      <c r="S26" s="494" t="e">
        <f>T12*$R$37</f>
        <v>#DIV/0!</v>
      </c>
      <c r="T26" s="495"/>
      <c r="U26" s="496" t="s">
        <v>390</v>
      </c>
      <c r="V26" s="496"/>
      <c r="W26" s="497" t="e">
        <f>S26/S$23</f>
        <v>#DIV/0!</v>
      </c>
      <c r="Y26" s="246"/>
      <c r="Z26" s="246"/>
      <c r="AA26" s="246"/>
      <c r="AB26" s="246"/>
      <c r="AC26" s="246"/>
      <c r="AD26" s="246"/>
      <c r="AE26" s="246"/>
      <c r="AF26" s="246"/>
      <c r="AG26" s="246"/>
      <c r="AH26" s="246"/>
      <c r="AI26" s="246"/>
      <c r="AJ26" s="246"/>
      <c r="AK26" s="246"/>
      <c r="AL26" s="246"/>
      <c r="AM26" s="246"/>
      <c r="AN26" s="246"/>
      <c r="AO26" s="246"/>
      <c r="AP26" s="246"/>
      <c r="AQ26" s="246"/>
      <c r="AS26" s="232" t="str">
        <f t="shared" si="1"/>
        <v/>
      </c>
      <c r="AT26" s="278">
        <f t="shared" si="5"/>
        <v>0</v>
      </c>
      <c r="AU26" s="278"/>
      <c r="AV26" s="278">
        <f t="shared" si="2"/>
        <v>0</v>
      </c>
      <c r="AW26" s="278">
        <f t="shared" si="6"/>
        <v>0</v>
      </c>
      <c r="AX26" s="232">
        <f t="shared" si="7"/>
        <v>0</v>
      </c>
      <c r="AY26" s="279">
        <f t="shared" si="0"/>
        <v>0</v>
      </c>
      <c r="AZ26" s="232">
        <f t="shared" si="4"/>
        <v>0</v>
      </c>
      <c r="BA26" s="232"/>
    </row>
    <row r="27" spans="1:54" ht="12.75" customHeight="1" x14ac:dyDescent="0.2">
      <c r="A27" s="246"/>
      <c r="B27" s="246"/>
      <c r="C27" s="246"/>
      <c r="D27" s="246"/>
      <c r="E27" s="238"/>
      <c r="F27" s="268" t="s">
        <v>282</v>
      </c>
      <c r="G27" s="489">
        <f>I21/I$24</f>
        <v>4.5579384102953124</v>
      </c>
      <c r="H27" s="269" t="s">
        <v>568</v>
      </c>
      <c r="I27" s="266"/>
      <c r="J27" s="266"/>
      <c r="K27" s="270"/>
      <c r="L27" s="238"/>
      <c r="M27" s="238"/>
      <c r="N27" s="238"/>
      <c r="O27" s="263"/>
      <c r="P27" s="238"/>
      <c r="R27" s="347" t="s">
        <v>542</v>
      </c>
      <c r="S27" s="494">
        <f>V14*$R$37</f>
        <v>11.943358995709568</v>
      </c>
      <c r="T27" s="495"/>
      <c r="U27" s="496" t="s">
        <v>542</v>
      </c>
      <c r="V27" s="496"/>
      <c r="W27" s="497">
        <f>S27/S$23</f>
        <v>0.52129513455999932</v>
      </c>
      <c r="Y27" s="246"/>
      <c r="Z27" s="246"/>
      <c r="AA27" s="246"/>
      <c r="AB27" s="246"/>
      <c r="AC27" s="246"/>
      <c r="AD27" s="246"/>
      <c r="AE27" s="246"/>
      <c r="AF27" s="246"/>
      <c r="AG27" s="246"/>
      <c r="AH27" s="246"/>
      <c r="AI27" s="246"/>
      <c r="AJ27" s="246"/>
      <c r="AK27" s="246"/>
      <c r="AL27" s="246"/>
      <c r="AM27" s="246"/>
      <c r="AN27" s="246"/>
      <c r="AO27" s="246"/>
      <c r="AP27" s="246"/>
      <c r="AQ27" s="246"/>
      <c r="AS27" s="232" t="str">
        <f t="shared" si="1"/>
        <v/>
      </c>
      <c r="AT27" s="278">
        <f t="shared" si="5"/>
        <v>0</v>
      </c>
      <c r="AU27" s="278"/>
      <c r="AV27" s="278">
        <f t="shared" si="2"/>
        <v>0</v>
      </c>
      <c r="AW27" s="278">
        <f t="shared" si="6"/>
        <v>0</v>
      </c>
      <c r="AX27" s="232">
        <f t="shared" si="7"/>
        <v>0</v>
      </c>
      <c r="AY27" s="279">
        <f t="shared" si="0"/>
        <v>0</v>
      </c>
      <c r="AZ27" s="232">
        <f t="shared" si="4"/>
        <v>0</v>
      </c>
      <c r="BA27" s="288"/>
      <c r="BB27" s="246"/>
    </row>
    <row r="28" spans="1:54" s="246" customFormat="1" ht="14.5" customHeight="1" x14ac:dyDescent="0.2">
      <c r="E28" s="238"/>
      <c r="F28" s="268" t="s">
        <v>569</v>
      </c>
      <c r="G28" s="489">
        <f>I22/I$24</f>
        <v>1.3798632781348823</v>
      </c>
      <c r="H28" s="269" t="s">
        <v>568</v>
      </c>
      <c r="I28" s="266"/>
      <c r="J28" s="266"/>
      <c r="K28" s="270"/>
      <c r="L28" s="238"/>
      <c r="M28" s="238"/>
      <c r="N28" s="238"/>
      <c r="O28" s="263"/>
      <c r="P28" s="238"/>
      <c r="R28" s="345" t="s">
        <v>247</v>
      </c>
      <c r="S28" s="498"/>
      <c r="T28" s="495"/>
      <c r="U28" s="495"/>
      <c r="V28" s="495"/>
      <c r="W28" s="499" t="s">
        <v>280</v>
      </c>
      <c r="AS28" s="232" t="str">
        <f t="shared" si="1"/>
        <v/>
      </c>
      <c r="AT28" s="278">
        <f t="shared" si="5"/>
        <v>0</v>
      </c>
      <c r="AU28" s="278"/>
      <c r="AV28" s="278">
        <f t="shared" si="2"/>
        <v>0</v>
      </c>
      <c r="AW28" s="278">
        <f t="shared" si="6"/>
        <v>0</v>
      </c>
      <c r="AX28" s="232">
        <f>IF(ISNUMBER(AS29),SUM(AU28:AV28),SUM(AU28:AW28))</f>
        <v>0</v>
      </c>
      <c r="AY28" s="279">
        <f t="shared" si="0"/>
        <v>0</v>
      </c>
      <c r="AZ28" s="232">
        <f t="shared" si="4"/>
        <v>0</v>
      </c>
      <c r="BA28" s="232"/>
      <c r="BB28" s="233"/>
    </row>
    <row r="29" spans="1:54" ht="13.75" customHeight="1" x14ac:dyDescent="0.2">
      <c r="A29" s="246"/>
      <c r="B29" s="246"/>
      <c r="C29" s="246"/>
      <c r="D29" s="246"/>
      <c r="E29" s="238"/>
      <c r="F29" s="268" t="s">
        <v>407</v>
      </c>
      <c r="G29" s="489" t="s">
        <v>120</v>
      </c>
      <c r="H29" s="269" t="s">
        <v>568</v>
      </c>
      <c r="I29" s="266"/>
      <c r="J29" s="266"/>
      <c r="K29" s="270"/>
      <c r="L29" s="238"/>
      <c r="M29" s="238"/>
      <c r="N29" s="238"/>
      <c r="O29" s="263"/>
      <c r="P29" s="238"/>
      <c r="Q29" s="344"/>
      <c r="R29" s="346" t="s">
        <v>570</v>
      </c>
      <c r="S29" s="494">
        <f>IFERROR(IF(S24-S$23&gt;0,S24-S$23,"N/A"),"N/A")</f>
        <v>31.526159614759905</v>
      </c>
      <c r="T29" s="500"/>
      <c r="U29" s="496"/>
      <c r="V29" s="496"/>
      <c r="W29" s="501" t="str">
        <f>IF(AND(S29&lt;&gt;"N/A",S29&gt;=$W$33),R29,"Bednets")</f>
        <v>Bednets</v>
      </c>
      <c r="Y29" s="246"/>
      <c r="Z29" s="246"/>
      <c r="AA29" s="246"/>
      <c r="AB29" s="246"/>
      <c r="AC29" s="246"/>
      <c r="AD29" s="246"/>
      <c r="AE29" s="246"/>
      <c r="AF29" s="246"/>
      <c r="AG29" s="246"/>
      <c r="AH29" s="246"/>
      <c r="AI29" s="246"/>
      <c r="AJ29" s="246"/>
      <c r="AK29" s="246"/>
      <c r="AL29" s="246"/>
      <c r="AM29" s="246"/>
      <c r="AN29" s="246"/>
      <c r="AO29" s="246"/>
      <c r="AP29" s="246"/>
      <c r="AQ29" s="246"/>
      <c r="AS29" s="232" t="str">
        <f>IF(AS28&lt;$D$14,AS28+1,"")</f>
        <v/>
      </c>
      <c r="AT29" s="278">
        <f>IF(ISNUMBER(AS29),AW28,0)</f>
        <v>0</v>
      </c>
      <c r="AU29" s="278"/>
      <c r="AV29" s="278">
        <f t="shared" si="2"/>
        <v>0</v>
      </c>
      <c r="AW29" s="278">
        <f t="shared" si="6"/>
        <v>0</v>
      </c>
      <c r="AX29" s="232">
        <f t="shared" si="7"/>
        <v>0</v>
      </c>
      <c r="AY29" s="279">
        <f t="shared" si="0"/>
        <v>0</v>
      </c>
      <c r="AZ29" s="232">
        <f t="shared" si="4"/>
        <v>0</v>
      </c>
      <c r="BA29" s="232"/>
    </row>
    <row r="30" spans="1:54" ht="13.5" customHeight="1" x14ac:dyDescent="0.2">
      <c r="A30" s="246"/>
      <c r="B30" s="246"/>
      <c r="C30" s="246"/>
      <c r="D30" s="246"/>
      <c r="E30" s="238"/>
      <c r="F30" s="247"/>
      <c r="G30" s="238"/>
      <c r="H30" s="238"/>
      <c r="I30" s="238"/>
      <c r="J30" s="263"/>
      <c r="K30" s="264"/>
      <c r="L30" s="238"/>
      <c r="M30" s="238"/>
      <c r="N30" s="238"/>
      <c r="O30" s="263"/>
      <c r="P30" s="238"/>
      <c r="Q30" s="344"/>
      <c r="R30" s="346" t="s">
        <v>560</v>
      </c>
      <c r="S30" s="494" t="str">
        <f>IFERROR(IF(S25-S$23&gt;0,S25-S$23,"N/A"),"N/A")</f>
        <v>N/A</v>
      </c>
      <c r="T30" s="500"/>
      <c r="U30" s="496"/>
      <c r="V30" s="496"/>
      <c r="W30" s="501" t="str">
        <f>IF(AND(S30&lt;&gt;"N/A",S30&gt;=$W$33),R30,"Bednets")</f>
        <v>Bednets</v>
      </c>
      <c r="Y30" s="246"/>
      <c r="Z30" s="246"/>
      <c r="AA30" s="246"/>
      <c r="AB30" s="246"/>
      <c r="AC30" s="246"/>
      <c r="AD30" s="246"/>
      <c r="AE30" s="246"/>
      <c r="AF30" s="246"/>
      <c r="AG30" s="246"/>
      <c r="AH30" s="246"/>
      <c r="AI30" s="246"/>
      <c r="AJ30" s="246"/>
      <c r="AK30" s="246"/>
      <c r="AL30" s="246"/>
      <c r="AM30" s="246"/>
      <c r="AN30" s="246"/>
      <c r="AO30" s="246"/>
      <c r="AP30" s="246"/>
      <c r="AQ30" s="246"/>
      <c r="AS30" s="232" t="str">
        <f t="shared" si="1"/>
        <v/>
      </c>
      <c r="AT30" s="278">
        <f t="shared" si="5"/>
        <v>0</v>
      </c>
      <c r="AU30" s="278"/>
      <c r="AV30" s="278">
        <f t="shared" si="2"/>
        <v>0</v>
      </c>
      <c r="AW30" s="278">
        <f t="shared" si="6"/>
        <v>0</v>
      </c>
      <c r="AX30" s="232">
        <f>IF(ISNUMBER(AS33),SUM(AU30:AV30),SUM(AU30:AW30))</f>
        <v>0</v>
      </c>
      <c r="AY30" s="279">
        <f t="shared" si="0"/>
        <v>0</v>
      </c>
      <c r="AZ30" s="232">
        <f t="shared" si="4"/>
        <v>0</v>
      </c>
      <c r="BA30" s="232"/>
    </row>
    <row r="31" spans="1:54" ht="13.5" customHeight="1" x14ac:dyDescent="0.2">
      <c r="A31" s="246"/>
      <c r="B31" s="246"/>
      <c r="C31" s="246"/>
      <c r="D31" s="246"/>
      <c r="E31" s="238"/>
      <c r="F31" s="618" t="s">
        <v>446</v>
      </c>
      <c r="G31" s="261" t="s">
        <v>570</v>
      </c>
      <c r="H31" s="262"/>
      <c r="I31" s="431">
        <f>V9</f>
        <v>1876.805793070024</v>
      </c>
      <c r="J31" s="263"/>
      <c r="K31" s="264"/>
      <c r="L31" s="238"/>
      <c r="M31" s="238"/>
      <c r="N31" s="238"/>
      <c r="O31" s="263"/>
      <c r="P31" s="238"/>
      <c r="Q31" s="286"/>
      <c r="R31" s="346" t="s">
        <v>390</v>
      </c>
      <c r="S31" s="494" t="str">
        <f>IFERROR(IF(S26-S$23&gt;0,S26-S$23,"N/A"),"N/A")</f>
        <v>N/A</v>
      </c>
      <c r="T31" s="500"/>
      <c r="U31" s="496"/>
      <c r="V31" s="496"/>
      <c r="W31" s="501" t="str">
        <f>IF(AND(S31&lt;&gt;"N/A",S31&gt;=$W$33),R31,"Bednets")</f>
        <v>Bednets</v>
      </c>
      <c r="Y31" s="246"/>
      <c r="Z31" s="246"/>
      <c r="AA31" s="246"/>
      <c r="AB31" s="246"/>
      <c r="AC31" s="246"/>
      <c r="AD31" s="246"/>
      <c r="AE31" s="246"/>
      <c r="AF31" s="246"/>
      <c r="AG31" s="246"/>
      <c r="AH31" s="246"/>
      <c r="AI31" s="246"/>
      <c r="AJ31" s="246"/>
      <c r="AK31" s="246"/>
      <c r="AL31" s="246"/>
      <c r="AM31" s="246"/>
      <c r="AN31" s="246"/>
      <c r="AO31" s="246"/>
      <c r="AP31" s="246"/>
      <c r="AQ31" s="246"/>
      <c r="AS31" s="232"/>
      <c r="AT31" s="278"/>
      <c r="AU31" s="278"/>
      <c r="AV31" s="278"/>
      <c r="AW31" s="278"/>
      <c r="AX31" s="232"/>
      <c r="AY31" s="279"/>
      <c r="AZ31" s="232"/>
      <c r="BA31" s="232"/>
    </row>
    <row r="32" spans="1:54" ht="13.5" customHeight="1" x14ac:dyDescent="0.2">
      <c r="A32" s="246"/>
      <c r="B32" s="246"/>
      <c r="C32" s="246"/>
      <c r="D32" s="246"/>
      <c r="E32" s="238"/>
      <c r="F32" s="618"/>
      <c r="G32" s="261" t="s">
        <v>560</v>
      </c>
      <c r="H32" s="262"/>
      <c r="I32" s="431">
        <f>V10</f>
        <v>6199.4295728061434</v>
      </c>
      <c r="J32" s="263"/>
      <c r="K32" s="264"/>
      <c r="L32" s="263"/>
      <c r="M32" s="263"/>
      <c r="N32" s="263"/>
      <c r="O32" s="263"/>
      <c r="P32" s="238"/>
      <c r="Q32" s="286"/>
      <c r="R32" s="352"/>
      <c r="S32" s="353"/>
      <c r="T32" s="353"/>
      <c r="U32" s="353"/>
      <c r="V32" s="353"/>
      <c r="W32" s="354"/>
      <c r="Y32" s="246"/>
      <c r="Z32" s="246"/>
      <c r="AA32" s="246"/>
      <c r="AB32" s="246"/>
      <c r="AC32" s="246"/>
      <c r="AD32" s="246"/>
      <c r="AE32" s="246"/>
      <c r="AF32" s="246"/>
      <c r="AG32" s="246"/>
      <c r="AH32" s="246"/>
      <c r="AI32" s="246"/>
      <c r="AJ32" s="246"/>
      <c r="AK32" s="246"/>
      <c r="AL32" s="246"/>
      <c r="AM32" s="246"/>
      <c r="AN32" s="246"/>
      <c r="AO32" s="246"/>
      <c r="AP32" s="246"/>
      <c r="AQ32" s="246"/>
      <c r="AS32" s="232"/>
      <c r="AT32" s="278"/>
      <c r="AU32" s="278"/>
      <c r="AV32" s="278"/>
      <c r="AW32" s="278"/>
      <c r="AX32" s="232"/>
      <c r="AY32" s="279"/>
      <c r="AZ32" s="232"/>
      <c r="BA32" s="232"/>
    </row>
    <row r="33" spans="1:53" ht="13.75" customHeight="1" thickBot="1" x14ac:dyDescent="0.25">
      <c r="A33" s="246"/>
      <c r="B33" s="246"/>
      <c r="C33" s="246"/>
      <c r="D33" s="246"/>
      <c r="E33" s="246"/>
      <c r="F33" s="618"/>
      <c r="G33" s="261" t="s">
        <v>566</v>
      </c>
      <c r="H33" s="262"/>
      <c r="I33" s="431">
        <f>V11</f>
        <v>2153.0743262141623</v>
      </c>
      <c r="J33" s="238"/>
      <c r="K33" s="244"/>
      <c r="L33" s="238"/>
      <c r="M33" s="238"/>
      <c r="N33" s="238"/>
      <c r="O33" s="238"/>
      <c r="P33" s="246"/>
      <c r="Q33" s="286"/>
      <c r="R33" s="642" t="s">
        <v>248</v>
      </c>
      <c r="S33" s="643"/>
      <c r="T33" s="643"/>
      <c r="U33" s="643"/>
      <c r="V33" s="643"/>
      <c r="W33" s="502">
        <f>$G$10*U37</f>
        <v>35.996612238621786</v>
      </c>
      <c r="X33" s="286"/>
      <c r="Y33" s="286"/>
      <c r="Z33" s="246"/>
      <c r="AA33" s="246"/>
      <c r="AB33" s="246"/>
      <c r="AC33" s="246"/>
      <c r="AD33" s="246"/>
      <c r="AE33" s="246"/>
      <c r="AF33" s="246"/>
      <c r="AG33" s="246"/>
      <c r="AH33" s="246"/>
      <c r="AI33" s="246"/>
      <c r="AJ33" s="246"/>
      <c r="AK33" s="246"/>
      <c r="AL33" s="246"/>
      <c r="AM33" s="246"/>
      <c r="AN33" s="246"/>
      <c r="AO33" s="246"/>
      <c r="AP33" s="246"/>
      <c r="AQ33" s="246"/>
      <c r="AS33" s="232" t="str">
        <f>IF(AS30&lt;$D$14,AS30+1,"")</f>
        <v/>
      </c>
      <c r="AT33" s="278">
        <f>IF(ISNUMBER(AS33),AW30,0)</f>
        <v>0</v>
      </c>
      <c r="AU33" s="278"/>
      <c r="AV33" s="278">
        <f t="shared" si="2"/>
        <v>0</v>
      </c>
      <c r="AW33" s="278">
        <f t="shared" si="6"/>
        <v>0</v>
      </c>
      <c r="AX33" s="232">
        <f>IF(ISNUMBER(AS35),SUM(AU33:AV33),SUM(AU33:AW33))</f>
        <v>0</v>
      </c>
      <c r="AY33" s="279">
        <f>LN(AX33+$J$37)-LN($J$37)</f>
        <v>0</v>
      </c>
      <c r="AZ33" s="232">
        <f t="shared" si="4"/>
        <v>0</v>
      </c>
    </row>
    <row r="34" spans="1:53" ht="13.75" customHeight="1" thickBot="1" x14ac:dyDescent="0.25">
      <c r="A34" s="246"/>
      <c r="B34" s="246"/>
      <c r="C34" s="246"/>
      <c r="D34" s="246"/>
      <c r="E34" s="246"/>
      <c r="F34" s="641"/>
      <c r="G34" s="289" t="s">
        <v>390</v>
      </c>
      <c r="H34" s="290"/>
      <c r="I34" s="432" t="s">
        <v>120</v>
      </c>
      <c r="J34" s="239"/>
      <c r="K34" s="325"/>
      <c r="L34" s="238"/>
      <c r="M34" s="238"/>
      <c r="N34" s="238"/>
      <c r="O34" s="238"/>
      <c r="P34" s="246"/>
      <c r="Q34" s="286"/>
      <c r="R34" s="378"/>
      <c r="S34" s="378"/>
      <c r="T34" s="378"/>
      <c r="U34" s="378"/>
      <c r="V34" s="378"/>
      <c r="W34" s="287"/>
      <c r="X34" s="287"/>
      <c r="Y34" s="286"/>
      <c r="Z34" s="246"/>
      <c r="AA34" s="246"/>
      <c r="AB34" s="246"/>
      <c r="AC34" s="246"/>
      <c r="AD34" s="246"/>
      <c r="AE34" s="246"/>
      <c r="AF34" s="246"/>
      <c r="AG34" s="246"/>
      <c r="AH34" s="246"/>
      <c r="AI34" s="246"/>
      <c r="AJ34" s="246"/>
      <c r="AK34" s="246"/>
      <c r="AL34" s="246"/>
      <c r="AM34" s="246"/>
      <c r="AN34" s="246"/>
      <c r="AO34" s="246"/>
      <c r="AP34" s="246"/>
      <c r="AQ34" s="246"/>
      <c r="AS34" s="232"/>
      <c r="AT34" s="278"/>
      <c r="AU34" s="278"/>
      <c r="AV34" s="278"/>
      <c r="AW34" s="278"/>
      <c r="AX34" s="232"/>
      <c r="AY34" s="279"/>
      <c r="AZ34" s="232"/>
    </row>
    <row r="35" spans="1:53" ht="51" customHeight="1" thickBot="1" x14ac:dyDescent="0.25">
      <c r="B35" s="246"/>
      <c r="C35" s="246"/>
      <c r="D35" s="246"/>
      <c r="E35" s="246"/>
      <c r="F35" s="246"/>
      <c r="G35" s="246"/>
      <c r="H35" s="246"/>
      <c r="I35" s="309"/>
      <c r="J35" s="309"/>
      <c r="K35" s="246"/>
      <c r="L35" s="246"/>
      <c r="M35" s="246"/>
      <c r="N35" s="246"/>
      <c r="O35" s="246"/>
      <c r="P35" s="246"/>
      <c r="Q35" s="286"/>
      <c r="R35" s="286"/>
      <c r="S35" s="286"/>
      <c r="T35" s="286"/>
      <c r="U35" s="286"/>
      <c r="W35" s="246"/>
      <c r="Y35" s="286"/>
      <c r="Z35" s="246"/>
      <c r="AA35" s="246"/>
      <c r="AB35" s="246"/>
      <c r="AC35" s="246"/>
      <c r="AD35" s="246"/>
      <c r="AE35" s="246"/>
      <c r="AF35" s="246"/>
      <c r="AG35" s="246"/>
      <c r="AH35" s="246"/>
      <c r="AI35" s="246"/>
      <c r="AJ35" s="246"/>
      <c r="AK35" s="246"/>
      <c r="AL35" s="246"/>
      <c r="AM35" s="246"/>
      <c r="AN35" s="246"/>
      <c r="AR35" s="232"/>
      <c r="AS35" s="232" t="str">
        <f>IF(AS33&lt;$D$14,AS33+1,"")</f>
        <v/>
      </c>
      <c r="AT35" s="278">
        <f>IF(ISNUMBER(AS35),AW33,0)</f>
        <v>0</v>
      </c>
      <c r="AU35" s="278"/>
      <c r="AV35" s="278">
        <f t="shared" si="2"/>
        <v>0</v>
      </c>
      <c r="AW35" s="278">
        <f t="shared" si="6"/>
        <v>0</v>
      </c>
      <c r="AX35" s="232">
        <f t="shared" si="7"/>
        <v>0</v>
      </c>
      <c r="AY35" s="279">
        <f>LN(AX35+$J$37)-LN($J$37)</f>
        <v>0</v>
      </c>
      <c r="AZ35" s="232">
        <f t="shared" si="4"/>
        <v>0</v>
      </c>
    </row>
    <row r="36" spans="1:53" ht="31.5" customHeight="1" x14ac:dyDescent="0.2">
      <c r="A36" s="246"/>
      <c r="B36" s="644" t="s">
        <v>557</v>
      </c>
      <c r="C36" s="248"/>
      <c r="D36" s="647" t="s">
        <v>552</v>
      </c>
      <c r="E36" s="648"/>
      <c r="F36" s="649"/>
      <c r="G36" s="250" t="s">
        <v>544</v>
      </c>
      <c r="H36" s="647" t="s">
        <v>555</v>
      </c>
      <c r="I36" s="649"/>
      <c r="J36" s="647" t="s">
        <v>554</v>
      </c>
      <c r="K36" s="648"/>
      <c r="L36" s="648"/>
      <c r="M36" s="648"/>
      <c r="N36" s="649"/>
      <c r="O36" s="647" t="s">
        <v>545</v>
      </c>
      <c r="P36" s="649"/>
      <c r="Q36" s="470" t="s">
        <v>546</v>
      </c>
      <c r="R36" s="281" t="s">
        <v>441</v>
      </c>
      <c r="S36" s="466" t="s">
        <v>553</v>
      </c>
      <c r="T36" s="467"/>
      <c r="U36" s="281" t="s">
        <v>435</v>
      </c>
      <c r="V36" s="281" t="s">
        <v>401</v>
      </c>
      <c r="W36" s="283" t="s">
        <v>404</v>
      </c>
      <c r="X36" s="212"/>
      <c r="Y36" s="246"/>
      <c r="Z36" s="246"/>
      <c r="AA36" s="246"/>
      <c r="AB36" s="246"/>
      <c r="AC36" s="246"/>
      <c r="AD36" s="246"/>
      <c r="AE36" s="246"/>
      <c r="AF36" s="246"/>
      <c r="AG36" s="246"/>
      <c r="AH36" s="246"/>
      <c r="AI36" s="246"/>
      <c r="AJ36" s="246"/>
      <c r="AK36" s="246"/>
      <c r="AL36" s="246"/>
      <c r="AM36" s="246"/>
      <c r="AN36" s="246"/>
      <c r="AR36" s="232"/>
      <c r="AS36" s="232" t="str">
        <f t="shared" si="1"/>
        <v/>
      </c>
      <c r="AT36" s="278">
        <f t="shared" si="5"/>
        <v>0</v>
      </c>
      <c r="AU36" s="278"/>
      <c r="AV36" s="278">
        <f t="shared" si="2"/>
        <v>0</v>
      </c>
      <c r="AW36" s="278">
        <f t="shared" si="6"/>
        <v>0</v>
      </c>
      <c r="AX36" s="232">
        <f t="shared" si="7"/>
        <v>0</v>
      </c>
      <c r="AY36" s="279">
        <f>LN(AX36+$J$37)-LN($J$37)</f>
        <v>0</v>
      </c>
      <c r="AZ36" s="232">
        <f t="shared" si="4"/>
        <v>0</v>
      </c>
      <c r="BA36" s="232"/>
    </row>
    <row r="37" spans="1:53" ht="12" customHeight="1" x14ac:dyDescent="0.2">
      <c r="A37" s="246"/>
      <c r="B37" s="645"/>
      <c r="C37" s="251" t="s">
        <v>548</v>
      </c>
      <c r="D37" s="650">
        <f>Parameters!$D$29</f>
        <v>0.26900000000000002</v>
      </c>
      <c r="E37" s="651"/>
      <c r="F37" s="652"/>
      <c r="G37" s="255">
        <f>Parameters!$D$30</f>
        <v>2.41</v>
      </c>
      <c r="H37" s="653">
        <f>Parameters!$D$61</f>
        <v>4.7</v>
      </c>
      <c r="I37" s="654"/>
      <c r="J37" s="629">
        <f>Parameters!$D$58</f>
        <v>285.92228810603416</v>
      </c>
      <c r="K37" s="630"/>
      <c r="L37" s="630"/>
      <c r="M37" s="630"/>
      <c r="N37" s="631"/>
      <c r="O37" s="632">
        <f>Parameters!$D$59</f>
        <v>1000</v>
      </c>
      <c r="P37" s="633"/>
      <c r="Q37" s="280">
        <f>Parameters!$D$60</f>
        <v>212.7659574468085</v>
      </c>
      <c r="R37" s="282">
        <f>Parameters!$D$49</f>
        <v>2838.2630576673801</v>
      </c>
      <c r="S37" s="282">
        <f>Parameters!$D$50</f>
        <v>3.6112369528824271</v>
      </c>
      <c r="T37" s="464"/>
      <c r="U37" s="340">
        <f>Parameters!$D$11</f>
        <v>36.525000000000006</v>
      </c>
      <c r="V37" s="328">
        <f>Parameters!$D$45</f>
        <v>15</v>
      </c>
      <c r="W37" s="320">
        <f>Parameters!$D$46</f>
        <v>0.43099999999999999</v>
      </c>
      <c r="X37" s="316"/>
      <c r="Y37" s="246"/>
      <c r="Z37" s="238"/>
      <c r="AA37" s="246"/>
      <c r="AB37" s="246"/>
      <c r="AC37" s="246"/>
      <c r="AD37" s="246"/>
      <c r="AE37" s="246"/>
      <c r="AF37" s="246"/>
      <c r="AG37" s="246"/>
      <c r="AH37" s="246"/>
      <c r="AI37" s="246"/>
      <c r="AJ37" s="246"/>
      <c r="AK37" s="246"/>
      <c r="AL37" s="246"/>
      <c r="AM37" s="246"/>
      <c r="AN37" s="246"/>
      <c r="AO37" s="246"/>
      <c r="AS37" s="232" t="str">
        <f t="shared" si="1"/>
        <v/>
      </c>
      <c r="AT37" s="278">
        <f t="shared" si="5"/>
        <v>0</v>
      </c>
      <c r="AU37" s="278"/>
      <c r="AV37" s="278">
        <f t="shared" si="2"/>
        <v>0</v>
      </c>
      <c r="AW37" s="278">
        <f t="shared" si="6"/>
        <v>0</v>
      </c>
      <c r="AX37" s="232">
        <f t="shared" si="7"/>
        <v>0</v>
      </c>
      <c r="AY37" s="279">
        <f>LN(AX37+$J$37)-LN($J$37)</f>
        <v>0</v>
      </c>
      <c r="AZ37" s="232">
        <f t="shared" si="4"/>
        <v>0</v>
      </c>
      <c r="BA37" s="232"/>
    </row>
    <row r="38" spans="1:53" ht="12" customHeight="1" thickBot="1" x14ac:dyDescent="0.25">
      <c r="A38" s="246"/>
      <c r="B38" s="646"/>
      <c r="C38" s="252" t="s">
        <v>549</v>
      </c>
      <c r="D38" s="634" t="s">
        <v>218</v>
      </c>
      <c r="E38" s="635"/>
      <c r="F38" s="635"/>
      <c r="G38" s="636"/>
      <c r="H38" s="392" t="s">
        <v>551</v>
      </c>
      <c r="I38" s="393"/>
      <c r="J38" s="393"/>
      <c r="K38" s="393"/>
      <c r="L38" s="393"/>
      <c r="M38" s="393"/>
      <c r="N38" s="393"/>
      <c r="O38" s="393"/>
      <c r="P38" s="393"/>
      <c r="Q38" s="394"/>
      <c r="R38" s="634" t="s">
        <v>131</v>
      </c>
      <c r="S38" s="635"/>
      <c r="T38" s="636"/>
      <c r="U38" s="329" t="s">
        <v>253</v>
      </c>
      <c r="V38" s="330" t="s">
        <v>402</v>
      </c>
      <c r="W38" s="331" t="s">
        <v>349</v>
      </c>
      <c r="X38" s="429"/>
      <c r="Y38" s="246"/>
      <c r="Z38" s="238"/>
      <c r="AA38" s="246"/>
      <c r="AB38" s="246"/>
      <c r="AC38" s="246"/>
      <c r="AD38" s="246"/>
      <c r="AE38" s="246"/>
      <c r="AF38" s="246"/>
      <c r="AG38" s="246"/>
      <c r="AH38" s="246"/>
      <c r="AI38" s="246"/>
      <c r="AJ38" s="246"/>
      <c r="AK38" s="246"/>
      <c r="AL38" s="246"/>
      <c r="AM38" s="246"/>
      <c r="AN38" s="246"/>
      <c r="AO38" s="246"/>
      <c r="AP38" s="246"/>
      <c r="AQ38" s="246"/>
      <c r="AS38" s="232" t="str">
        <f t="shared" si="1"/>
        <v/>
      </c>
      <c r="AT38" s="278">
        <f t="shared" si="5"/>
        <v>0</v>
      </c>
      <c r="AU38" s="278"/>
      <c r="AV38" s="278">
        <f t="shared" si="2"/>
        <v>0</v>
      </c>
      <c r="AW38" s="278">
        <f t="shared" si="6"/>
        <v>0</v>
      </c>
      <c r="AX38" s="232">
        <f t="shared" si="7"/>
        <v>0</v>
      </c>
      <c r="AY38" s="279">
        <f>LN(AX38+$J$37)-LN($J$37)</f>
        <v>0</v>
      </c>
      <c r="AZ38" s="232">
        <f t="shared" si="4"/>
        <v>0</v>
      </c>
      <c r="BA38" s="232"/>
    </row>
    <row r="39" spans="1:53" s="246" customFormat="1" ht="15" x14ac:dyDescent="0.2">
      <c r="J39" s="309"/>
      <c r="K39" s="309"/>
      <c r="L39" s="309"/>
      <c r="M39" s="309"/>
      <c r="Z39" s="238"/>
      <c r="AS39" s="288" t="str">
        <f t="shared" si="1"/>
        <v/>
      </c>
      <c r="AT39" s="326">
        <f t="shared" si="5"/>
        <v>0</v>
      </c>
      <c r="AU39" s="326"/>
      <c r="AV39" s="326">
        <f t="shared" si="2"/>
        <v>0</v>
      </c>
      <c r="AW39" s="326">
        <f t="shared" si="6"/>
        <v>0</v>
      </c>
      <c r="AX39" s="288">
        <f t="shared" si="7"/>
        <v>0</v>
      </c>
      <c r="AY39" s="327">
        <f t="shared" ref="AY39:AY102" si="8">LN(AX39+$J$37)-LN($J$37)</f>
        <v>0</v>
      </c>
      <c r="AZ39" s="288">
        <f t="shared" si="4"/>
        <v>0</v>
      </c>
      <c r="BA39" s="288"/>
    </row>
    <row r="40" spans="1:53" s="246" customFormat="1" ht="15" x14ac:dyDescent="0.2">
      <c r="R40" s="309"/>
      <c r="AS40" s="288" t="str">
        <f t="shared" si="1"/>
        <v/>
      </c>
      <c r="AT40" s="326">
        <f t="shared" si="5"/>
        <v>0</v>
      </c>
      <c r="AU40" s="326"/>
      <c r="AV40" s="326">
        <f t="shared" si="2"/>
        <v>0</v>
      </c>
      <c r="AW40" s="326">
        <f t="shared" si="6"/>
        <v>0</v>
      </c>
      <c r="AX40" s="288">
        <f t="shared" si="7"/>
        <v>0</v>
      </c>
      <c r="AY40" s="327">
        <f t="shared" si="8"/>
        <v>0</v>
      </c>
      <c r="AZ40" s="288">
        <f t="shared" si="4"/>
        <v>0</v>
      </c>
      <c r="BA40" s="288"/>
    </row>
    <row r="41" spans="1:53" s="246" customFormat="1" ht="15" x14ac:dyDescent="0.2">
      <c r="R41" s="309"/>
      <c r="AS41" s="288" t="str">
        <f t="shared" si="1"/>
        <v/>
      </c>
      <c r="AT41" s="326">
        <f t="shared" si="5"/>
        <v>0</v>
      </c>
      <c r="AU41" s="326"/>
      <c r="AV41" s="326">
        <f t="shared" si="2"/>
        <v>0</v>
      </c>
      <c r="AW41" s="326">
        <f t="shared" si="6"/>
        <v>0</v>
      </c>
      <c r="AX41" s="288">
        <f t="shared" si="7"/>
        <v>0</v>
      </c>
      <c r="AY41" s="327">
        <f t="shared" si="8"/>
        <v>0</v>
      </c>
      <c r="AZ41" s="288">
        <f t="shared" si="4"/>
        <v>0</v>
      </c>
      <c r="BA41" s="288"/>
    </row>
    <row r="42" spans="1:53" s="246" customFormat="1" ht="15" x14ac:dyDescent="0.2">
      <c r="R42" s="309"/>
      <c r="S42" s="410"/>
      <c r="AS42" s="288" t="str">
        <f t="shared" si="1"/>
        <v/>
      </c>
      <c r="AT42" s="326">
        <f t="shared" si="5"/>
        <v>0</v>
      </c>
      <c r="AU42" s="326"/>
      <c r="AV42" s="326">
        <f t="shared" si="2"/>
        <v>0</v>
      </c>
      <c r="AW42" s="326">
        <f t="shared" si="6"/>
        <v>0</v>
      </c>
      <c r="AX42" s="288">
        <f t="shared" si="7"/>
        <v>0</v>
      </c>
      <c r="AY42" s="327">
        <f t="shared" si="8"/>
        <v>0</v>
      </c>
      <c r="AZ42" s="288">
        <f t="shared" si="4"/>
        <v>0</v>
      </c>
      <c r="BA42" s="288"/>
    </row>
    <row r="43" spans="1:53" s="246" customFormat="1" ht="15" x14ac:dyDescent="0.2">
      <c r="R43" s="412"/>
      <c r="S43" s="387"/>
      <c r="AS43" s="288" t="str">
        <f t="shared" si="1"/>
        <v/>
      </c>
      <c r="AT43" s="326">
        <f t="shared" si="5"/>
        <v>0</v>
      </c>
      <c r="AU43" s="326"/>
      <c r="AV43" s="326">
        <f t="shared" si="2"/>
        <v>0</v>
      </c>
      <c r="AW43" s="326">
        <f t="shared" si="6"/>
        <v>0</v>
      </c>
      <c r="AX43" s="288">
        <f t="shared" si="7"/>
        <v>0</v>
      </c>
      <c r="AY43" s="327">
        <f t="shared" si="8"/>
        <v>0</v>
      </c>
      <c r="AZ43" s="288">
        <f t="shared" si="4"/>
        <v>0</v>
      </c>
      <c r="BA43" s="288"/>
    </row>
    <row r="44" spans="1:53" s="246" customFormat="1" ht="15" x14ac:dyDescent="0.2">
      <c r="S44" s="387"/>
      <c r="AS44" s="288" t="str">
        <f t="shared" si="1"/>
        <v/>
      </c>
      <c r="AT44" s="326">
        <f t="shared" si="5"/>
        <v>0</v>
      </c>
      <c r="AU44" s="326"/>
      <c r="AV44" s="326">
        <f t="shared" si="2"/>
        <v>0</v>
      </c>
      <c r="AW44" s="326">
        <f t="shared" si="6"/>
        <v>0</v>
      </c>
      <c r="AX44" s="288">
        <f t="shared" si="7"/>
        <v>0</v>
      </c>
      <c r="AY44" s="327">
        <f t="shared" si="8"/>
        <v>0</v>
      </c>
      <c r="AZ44" s="288">
        <f t="shared" si="4"/>
        <v>0</v>
      </c>
      <c r="BA44" s="288"/>
    </row>
    <row r="45" spans="1:53" s="246" customFormat="1" ht="15" x14ac:dyDescent="0.2">
      <c r="S45" s="387"/>
      <c r="AS45" s="288" t="str">
        <f t="shared" si="1"/>
        <v/>
      </c>
      <c r="AT45" s="326">
        <f t="shared" si="5"/>
        <v>0</v>
      </c>
      <c r="AU45" s="326"/>
      <c r="AV45" s="326">
        <f t="shared" si="2"/>
        <v>0</v>
      </c>
      <c r="AW45" s="326">
        <f t="shared" si="6"/>
        <v>0</v>
      </c>
      <c r="AX45" s="288">
        <f t="shared" si="7"/>
        <v>0</v>
      </c>
      <c r="AY45" s="327">
        <f t="shared" si="8"/>
        <v>0</v>
      </c>
      <c r="AZ45" s="288">
        <f t="shared" si="4"/>
        <v>0</v>
      </c>
      <c r="BA45" s="288"/>
    </row>
    <row r="46" spans="1:53" s="246" customFormat="1" ht="15" x14ac:dyDescent="0.2">
      <c r="S46" s="387"/>
      <c r="AS46" s="288" t="str">
        <f t="shared" si="1"/>
        <v/>
      </c>
      <c r="AT46" s="326">
        <f t="shared" si="5"/>
        <v>0</v>
      </c>
      <c r="AU46" s="326"/>
      <c r="AV46" s="326">
        <f t="shared" si="2"/>
        <v>0</v>
      </c>
      <c r="AW46" s="326">
        <f t="shared" si="6"/>
        <v>0</v>
      </c>
      <c r="AX46" s="288">
        <f t="shared" si="7"/>
        <v>0</v>
      </c>
      <c r="AY46" s="327">
        <f t="shared" si="8"/>
        <v>0</v>
      </c>
      <c r="AZ46" s="288">
        <f t="shared" si="4"/>
        <v>0</v>
      </c>
      <c r="BA46" s="288"/>
    </row>
    <row r="47" spans="1:53" s="246" customFormat="1" ht="15" x14ac:dyDescent="0.2">
      <c r="S47" s="387"/>
      <c r="AS47" s="288" t="str">
        <f t="shared" si="1"/>
        <v/>
      </c>
      <c r="AT47" s="326">
        <f t="shared" si="5"/>
        <v>0</v>
      </c>
      <c r="AU47" s="326"/>
      <c r="AV47" s="326">
        <f t="shared" si="2"/>
        <v>0</v>
      </c>
      <c r="AW47" s="326">
        <f t="shared" si="6"/>
        <v>0</v>
      </c>
      <c r="AX47" s="288">
        <f t="shared" si="7"/>
        <v>0</v>
      </c>
      <c r="AY47" s="327">
        <f t="shared" si="8"/>
        <v>0</v>
      </c>
      <c r="AZ47" s="288">
        <f t="shared" si="4"/>
        <v>0</v>
      </c>
      <c r="BA47" s="288"/>
    </row>
    <row r="48" spans="1:53" s="246" customFormat="1" ht="15" x14ac:dyDescent="0.2">
      <c r="AS48" s="288" t="str">
        <f t="shared" si="1"/>
        <v/>
      </c>
      <c r="AT48" s="326">
        <f t="shared" si="5"/>
        <v>0</v>
      </c>
      <c r="AU48" s="326"/>
      <c r="AV48" s="326">
        <f t="shared" si="2"/>
        <v>0</v>
      </c>
      <c r="AW48" s="326">
        <f t="shared" si="6"/>
        <v>0</v>
      </c>
      <c r="AX48" s="288">
        <f t="shared" si="7"/>
        <v>0</v>
      </c>
      <c r="AY48" s="327">
        <f t="shared" si="8"/>
        <v>0</v>
      </c>
      <c r="AZ48" s="288">
        <f t="shared" si="4"/>
        <v>0</v>
      </c>
      <c r="BA48" s="288"/>
    </row>
    <row r="49" spans="45:53" s="246" customFormat="1" ht="15" x14ac:dyDescent="0.2">
      <c r="AS49" s="288" t="str">
        <f t="shared" si="1"/>
        <v/>
      </c>
      <c r="AT49" s="326">
        <f t="shared" si="5"/>
        <v>0</v>
      </c>
      <c r="AU49" s="326"/>
      <c r="AV49" s="326">
        <f t="shared" si="2"/>
        <v>0</v>
      </c>
      <c r="AW49" s="326">
        <f t="shared" si="6"/>
        <v>0</v>
      </c>
      <c r="AX49" s="288">
        <f t="shared" si="7"/>
        <v>0</v>
      </c>
      <c r="AY49" s="327">
        <f t="shared" si="8"/>
        <v>0</v>
      </c>
      <c r="AZ49" s="288">
        <f t="shared" si="4"/>
        <v>0</v>
      </c>
      <c r="BA49" s="288"/>
    </row>
    <row r="50" spans="45:53" s="246" customFormat="1" ht="15" x14ac:dyDescent="0.2">
      <c r="AS50" s="288" t="str">
        <f t="shared" si="1"/>
        <v/>
      </c>
      <c r="AT50" s="326">
        <f t="shared" si="5"/>
        <v>0</v>
      </c>
      <c r="AU50" s="326"/>
      <c r="AV50" s="326">
        <f t="shared" si="2"/>
        <v>0</v>
      </c>
      <c r="AW50" s="326">
        <f t="shared" si="6"/>
        <v>0</v>
      </c>
      <c r="AX50" s="288">
        <f t="shared" si="7"/>
        <v>0</v>
      </c>
      <c r="AY50" s="327">
        <f t="shared" si="8"/>
        <v>0</v>
      </c>
      <c r="AZ50" s="288">
        <f t="shared" si="4"/>
        <v>0</v>
      </c>
      <c r="BA50" s="288"/>
    </row>
    <row r="51" spans="45:53" s="246" customFormat="1" ht="15" x14ac:dyDescent="0.2">
      <c r="AS51" s="288" t="str">
        <f t="shared" si="1"/>
        <v/>
      </c>
      <c r="AT51" s="326">
        <f t="shared" si="5"/>
        <v>0</v>
      </c>
      <c r="AU51" s="326"/>
      <c r="AV51" s="326">
        <f t="shared" si="2"/>
        <v>0</v>
      </c>
      <c r="AW51" s="326">
        <f t="shared" si="6"/>
        <v>0</v>
      </c>
      <c r="AX51" s="288">
        <f t="shared" si="7"/>
        <v>0</v>
      </c>
      <c r="AY51" s="327">
        <f t="shared" si="8"/>
        <v>0</v>
      </c>
      <c r="AZ51" s="288">
        <f t="shared" si="4"/>
        <v>0</v>
      </c>
      <c r="BA51" s="288"/>
    </row>
    <row r="52" spans="45:53" s="246" customFormat="1" ht="15" x14ac:dyDescent="0.2">
      <c r="AS52" s="288" t="str">
        <f t="shared" si="1"/>
        <v/>
      </c>
      <c r="AT52" s="326">
        <f t="shared" si="5"/>
        <v>0</v>
      </c>
      <c r="AU52" s="326"/>
      <c r="AV52" s="326">
        <f t="shared" si="2"/>
        <v>0</v>
      </c>
      <c r="AW52" s="326">
        <f t="shared" si="6"/>
        <v>0</v>
      </c>
      <c r="AX52" s="288">
        <f t="shared" si="7"/>
        <v>0</v>
      </c>
      <c r="AY52" s="327">
        <f t="shared" si="8"/>
        <v>0</v>
      </c>
      <c r="AZ52" s="288">
        <f t="shared" si="4"/>
        <v>0</v>
      </c>
      <c r="BA52" s="288"/>
    </row>
    <row r="53" spans="45:53" s="246" customFormat="1" ht="15" x14ac:dyDescent="0.2">
      <c r="AS53" s="288" t="str">
        <f t="shared" si="1"/>
        <v/>
      </c>
      <c r="AT53" s="326">
        <f t="shared" si="5"/>
        <v>0</v>
      </c>
      <c r="AU53" s="326"/>
      <c r="AV53" s="326">
        <f t="shared" si="2"/>
        <v>0</v>
      </c>
      <c r="AW53" s="326">
        <f t="shared" si="6"/>
        <v>0</v>
      </c>
      <c r="AX53" s="288">
        <f t="shared" si="7"/>
        <v>0</v>
      </c>
      <c r="AY53" s="327">
        <f t="shared" si="8"/>
        <v>0</v>
      </c>
      <c r="AZ53" s="288">
        <f t="shared" si="4"/>
        <v>0</v>
      </c>
      <c r="BA53" s="288"/>
    </row>
    <row r="54" spans="45:53" s="246" customFormat="1" ht="15" x14ac:dyDescent="0.2">
      <c r="AS54" s="288" t="str">
        <f t="shared" si="1"/>
        <v/>
      </c>
      <c r="AT54" s="326">
        <f t="shared" si="5"/>
        <v>0</v>
      </c>
      <c r="AU54" s="326"/>
      <c r="AV54" s="326">
        <f t="shared" si="2"/>
        <v>0</v>
      </c>
      <c r="AW54" s="326">
        <f t="shared" si="6"/>
        <v>0</v>
      </c>
      <c r="AX54" s="288">
        <f t="shared" si="7"/>
        <v>0</v>
      </c>
      <c r="AY54" s="327">
        <f t="shared" si="8"/>
        <v>0</v>
      </c>
      <c r="AZ54" s="288">
        <f t="shared" si="4"/>
        <v>0</v>
      </c>
      <c r="BA54" s="288"/>
    </row>
    <row r="55" spans="45:53" s="246" customFormat="1" ht="15" x14ac:dyDescent="0.2">
      <c r="AS55" s="288" t="str">
        <f t="shared" si="1"/>
        <v/>
      </c>
      <c r="AT55" s="326">
        <f t="shared" si="5"/>
        <v>0</v>
      </c>
      <c r="AU55" s="326"/>
      <c r="AV55" s="326">
        <f t="shared" si="2"/>
        <v>0</v>
      </c>
      <c r="AW55" s="326">
        <f t="shared" si="6"/>
        <v>0</v>
      </c>
      <c r="AX55" s="288">
        <f t="shared" si="7"/>
        <v>0</v>
      </c>
      <c r="AY55" s="327">
        <f t="shared" si="8"/>
        <v>0</v>
      </c>
      <c r="AZ55" s="288">
        <f t="shared" si="4"/>
        <v>0</v>
      </c>
      <c r="BA55" s="288"/>
    </row>
    <row r="56" spans="45:53" s="246" customFormat="1" ht="15" x14ac:dyDescent="0.2">
      <c r="AS56" s="288" t="str">
        <f t="shared" si="1"/>
        <v/>
      </c>
      <c r="AT56" s="326">
        <f t="shared" si="5"/>
        <v>0</v>
      </c>
      <c r="AU56" s="326"/>
      <c r="AV56" s="326">
        <f t="shared" si="2"/>
        <v>0</v>
      </c>
      <c r="AW56" s="326">
        <f t="shared" si="6"/>
        <v>0</v>
      </c>
      <c r="AX56" s="288">
        <f t="shared" si="7"/>
        <v>0</v>
      </c>
      <c r="AY56" s="327">
        <f t="shared" si="8"/>
        <v>0</v>
      </c>
      <c r="AZ56" s="288">
        <f t="shared" si="4"/>
        <v>0</v>
      </c>
      <c r="BA56" s="288"/>
    </row>
    <row r="57" spans="45:53" s="246" customFormat="1" ht="15" x14ac:dyDescent="0.2">
      <c r="AS57" s="288" t="str">
        <f t="shared" si="1"/>
        <v/>
      </c>
      <c r="AT57" s="326">
        <f t="shared" si="5"/>
        <v>0</v>
      </c>
      <c r="AU57" s="326"/>
      <c r="AV57" s="326">
        <f t="shared" si="2"/>
        <v>0</v>
      </c>
      <c r="AW57" s="326">
        <f t="shared" si="6"/>
        <v>0</v>
      </c>
      <c r="AX57" s="288">
        <f t="shared" si="7"/>
        <v>0</v>
      </c>
      <c r="AY57" s="327">
        <f t="shared" si="8"/>
        <v>0</v>
      </c>
      <c r="AZ57" s="288">
        <f t="shared" si="4"/>
        <v>0</v>
      </c>
      <c r="BA57" s="288"/>
    </row>
    <row r="58" spans="45:53" s="246" customFormat="1" ht="15" x14ac:dyDescent="0.2">
      <c r="AS58" s="288" t="str">
        <f t="shared" si="1"/>
        <v/>
      </c>
      <c r="AT58" s="326">
        <f t="shared" si="5"/>
        <v>0</v>
      </c>
      <c r="AU58" s="326"/>
      <c r="AV58" s="326">
        <f t="shared" si="2"/>
        <v>0</v>
      </c>
      <c r="AW58" s="326">
        <f t="shared" si="6"/>
        <v>0</v>
      </c>
      <c r="AX58" s="288">
        <f t="shared" si="7"/>
        <v>0</v>
      </c>
      <c r="AY58" s="327">
        <f t="shared" si="8"/>
        <v>0</v>
      </c>
      <c r="AZ58" s="288">
        <f t="shared" si="4"/>
        <v>0</v>
      </c>
      <c r="BA58" s="288"/>
    </row>
    <row r="59" spans="45:53" s="246" customFormat="1" ht="15" x14ac:dyDescent="0.2">
      <c r="AS59" s="288" t="str">
        <f t="shared" si="1"/>
        <v/>
      </c>
      <c r="AT59" s="326">
        <f t="shared" si="5"/>
        <v>0</v>
      </c>
      <c r="AU59" s="326"/>
      <c r="AV59" s="326">
        <f t="shared" si="2"/>
        <v>0</v>
      </c>
      <c r="AW59" s="326">
        <f t="shared" si="6"/>
        <v>0</v>
      </c>
      <c r="AX59" s="288">
        <f t="shared" si="7"/>
        <v>0</v>
      </c>
      <c r="AY59" s="327">
        <f t="shared" si="8"/>
        <v>0</v>
      </c>
      <c r="AZ59" s="288">
        <f t="shared" si="4"/>
        <v>0</v>
      </c>
      <c r="BA59" s="288"/>
    </row>
    <row r="60" spans="45:53" s="246" customFormat="1" ht="15" x14ac:dyDescent="0.2">
      <c r="AS60" s="288" t="str">
        <f t="shared" si="1"/>
        <v/>
      </c>
      <c r="AT60" s="326">
        <f t="shared" si="5"/>
        <v>0</v>
      </c>
      <c r="AU60" s="326"/>
      <c r="AV60" s="326">
        <f t="shared" si="2"/>
        <v>0</v>
      </c>
      <c r="AW60" s="326">
        <f t="shared" si="6"/>
        <v>0</v>
      </c>
      <c r="AX60" s="288">
        <f t="shared" si="7"/>
        <v>0</v>
      </c>
      <c r="AY60" s="327">
        <f t="shared" si="8"/>
        <v>0</v>
      </c>
      <c r="AZ60" s="288">
        <f t="shared" si="4"/>
        <v>0</v>
      </c>
      <c r="BA60" s="288"/>
    </row>
    <row r="61" spans="45:53" s="246" customFormat="1" ht="15" x14ac:dyDescent="0.2">
      <c r="AS61" s="288" t="str">
        <f t="shared" si="1"/>
        <v/>
      </c>
      <c r="AT61" s="326">
        <f t="shared" si="5"/>
        <v>0</v>
      </c>
      <c r="AU61" s="326"/>
      <c r="AV61" s="326">
        <f t="shared" si="2"/>
        <v>0</v>
      </c>
      <c r="AW61" s="326">
        <f t="shared" si="6"/>
        <v>0</v>
      </c>
      <c r="AX61" s="288">
        <f t="shared" si="7"/>
        <v>0</v>
      </c>
      <c r="AY61" s="327">
        <f t="shared" si="8"/>
        <v>0</v>
      </c>
      <c r="AZ61" s="288">
        <f t="shared" si="4"/>
        <v>0</v>
      </c>
      <c r="BA61" s="288"/>
    </row>
    <row r="62" spans="45:53" s="246" customFormat="1" ht="15" x14ac:dyDescent="0.2">
      <c r="AS62" s="288" t="str">
        <f t="shared" si="1"/>
        <v/>
      </c>
      <c r="AT62" s="326">
        <f t="shared" si="5"/>
        <v>0</v>
      </c>
      <c r="AU62" s="326"/>
      <c r="AV62" s="326">
        <f t="shared" si="2"/>
        <v>0</v>
      </c>
      <c r="AW62" s="326">
        <f t="shared" si="6"/>
        <v>0</v>
      </c>
      <c r="AX62" s="288">
        <f t="shared" si="7"/>
        <v>0</v>
      </c>
      <c r="AY62" s="327">
        <f t="shared" si="8"/>
        <v>0</v>
      </c>
      <c r="AZ62" s="288">
        <f t="shared" si="4"/>
        <v>0</v>
      </c>
      <c r="BA62" s="288"/>
    </row>
    <row r="63" spans="45:53" s="246" customFormat="1" ht="15" x14ac:dyDescent="0.2">
      <c r="AS63" s="288" t="str">
        <f t="shared" si="1"/>
        <v/>
      </c>
      <c r="AT63" s="326">
        <f t="shared" si="5"/>
        <v>0</v>
      </c>
      <c r="AU63" s="326"/>
      <c r="AV63" s="326">
        <f t="shared" si="2"/>
        <v>0</v>
      </c>
      <c r="AW63" s="326">
        <f t="shared" si="6"/>
        <v>0</v>
      </c>
      <c r="AX63" s="288">
        <f t="shared" si="7"/>
        <v>0</v>
      </c>
      <c r="AY63" s="327">
        <f t="shared" si="8"/>
        <v>0</v>
      </c>
      <c r="AZ63" s="288">
        <f t="shared" si="4"/>
        <v>0</v>
      </c>
      <c r="BA63" s="288"/>
    </row>
    <row r="64" spans="45:53" s="246" customFormat="1" ht="15" x14ac:dyDescent="0.2">
      <c r="AS64" s="288" t="str">
        <f t="shared" si="1"/>
        <v/>
      </c>
      <c r="AT64" s="326">
        <f t="shared" si="5"/>
        <v>0</v>
      </c>
      <c r="AU64" s="326"/>
      <c r="AV64" s="326">
        <f t="shared" si="2"/>
        <v>0</v>
      </c>
      <c r="AW64" s="326">
        <f t="shared" si="6"/>
        <v>0</v>
      </c>
      <c r="AX64" s="288">
        <f t="shared" si="7"/>
        <v>0</v>
      </c>
      <c r="AY64" s="327">
        <f t="shared" si="8"/>
        <v>0</v>
      </c>
      <c r="AZ64" s="288">
        <f t="shared" si="4"/>
        <v>0</v>
      </c>
      <c r="BA64" s="288"/>
    </row>
    <row r="65" spans="45:53" s="246" customFormat="1" ht="15" x14ac:dyDescent="0.2">
      <c r="AS65" s="288" t="str">
        <f t="shared" si="1"/>
        <v/>
      </c>
      <c r="AT65" s="326">
        <f t="shared" si="5"/>
        <v>0</v>
      </c>
      <c r="AU65" s="326"/>
      <c r="AV65" s="326">
        <f t="shared" si="2"/>
        <v>0</v>
      </c>
      <c r="AW65" s="326">
        <f t="shared" si="6"/>
        <v>0</v>
      </c>
      <c r="AX65" s="288">
        <f t="shared" si="7"/>
        <v>0</v>
      </c>
      <c r="AY65" s="327">
        <f t="shared" si="8"/>
        <v>0</v>
      </c>
      <c r="AZ65" s="288">
        <f t="shared" si="4"/>
        <v>0</v>
      </c>
      <c r="BA65" s="288"/>
    </row>
    <row r="66" spans="45:53" s="246" customFormat="1" ht="15" x14ac:dyDescent="0.2">
      <c r="AS66" s="288" t="str">
        <f t="shared" si="1"/>
        <v/>
      </c>
      <c r="AT66" s="326">
        <f t="shared" si="5"/>
        <v>0</v>
      </c>
      <c r="AU66" s="326"/>
      <c r="AV66" s="326">
        <f t="shared" si="2"/>
        <v>0</v>
      </c>
      <c r="AW66" s="326">
        <f t="shared" si="6"/>
        <v>0</v>
      </c>
      <c r="AX66" s="288">
        <f t="shared" si="7"/>
        <v>0</v>
      </c>
      <c r="AY66" s="327">
        <f t="shared" si="8"/>
        <v>0</v>
      </c>
      <c r="AZ66" s="288">
        <f t="shared" si="4"/>
        <v>0</v>
      </c>
      <c r="BA66" s="288"/>
    </row>
    <row r="67" spans="45:53" s="246" customFormat="1" ht="15" x14ac:dyDescent="0.2">
      <c r="AS67" s="288" t="str">
        <f t="shared" si="1"/>
        <v/>
      </c>
      <c r="AT67" s="326">
        <f t="shared" si="5"/>
        <v>0</v>
      </c>
      <c r="AU67" s="326"/>
      <c r="AV67" s="326">
        <f t="shared" si="2"/>
        <v>0</v>
      </c>
      <c r="AW67" s="326">
        <f t="shared" si="6"/>
        <v>0</v>
      </c>
      <c r="AX67" s="288">
        <f t="shared" si="7"/>
        <v>0</v>
      </c>
      <c r="AY67" s="327">
        <f t="shared" si="8"/>
        <v>0</v>
      </c>
      <c r="AZ67" s="288">
        <f t="shared" si="4"/>
        <v>0</v>
      </c>
      <c r="BA67" s="288"/>
    </row>
    <row r="68" spans="45:53" s="246" customFormat="1" ht="15" x14ac:dyDescent="0.2">
      <c r="AS68" s="288" t="str">
        <f t="shared" si="1"/>
        <v/>
      </c>
      <c r="AT68" s="326">
        <f t="shared" si="5"/>
        <v>0</v>
      </c>
      <c r="AU68" s="326"/>
      <c r="AV68" s="326">
        <f t="shared" si="2"/>
        <v>0</v>
      </c>
      <c r="AW68" s="326">
        <f t="shared" si="6"/>
        <v>0</v>
      </c>
      <c r="AX68" s="288">
        <f t="shared" si="7"/>
        <v>0</v>
      </c>
      <c r="AY68" s="327">
        <f t="shared" si="8"/>
        <v>0</v>
      </c>
      <c r="AZ68" s="288">
        <f t="shared" si="4"/>
        <v>0</v>
      </c>
      <c r="BA68" s="288"/>
    </row>
    <row r="69" spans="45:53" s="246" customFormat="1" ht="15" x14ac:dyDescent="0.2">
      <c r="AS69" s="288" t="str">
        <f t="shared" ref="AS69:AS114" si="9">IF(AS68&lt;$D$14,AS68+1,"")</f>
        <v/>
      </c>
      <c r="AT69" s="326">
        <f t="shared" si="5"/>
        <v>0</v>
      </c>
      <c r="AU69" s="326"/>
      <c r="AV69" s="326">
        <f t="shared" si="2"/>
        <v>0</v>
      </c>
      <c r="AW69" s="326">
        <f t="shared" si="6"/>
        <v>0</v>
      </c>
      <c r="AX69" s="288">
        <f t="shared" si="7"/>
        <v>0</v>
      </c>
      <c r="AY69" s="327">
        <f t="shared" si="8"/>
        <v>0</v>
      </c>
      <c r="AZ69" s="288">
        <f t="shared" si="4"/>
        <v>0</v>
      </c>
      <c r="BA69" s="288"/>
    </row>
    <row r="70" spans="45:53" s="246" customFormat="1" ht="15" x14ac:dyDescent="0.2">
      <c r="AS70" s="288" t="str">
        <f t="shared" si="9"/>
        <v/>
      </c>
      <c r="AT70" s="326">
        <f t="shared" si="5"/>
        <v>0</v>
      </c>
      <c r="AU70" s="326"/>
      <c r="AV70" s="326">
        <f t="shared" si="2"/>
        <v>0</v>
      </c>
      <c r="AW70" s="326">
        <f t="shared" si="6"/>
        <v>0</v>
      </c>
      <c r="AX70" s="288">
        <f t="shared" si="7"/>
        <v>0</v>
      </c>
      <c r="AY70" s="327">
        <f t="shared" si="8"/>
        <v>0</v>
      </c>
      <c r="AZ70" s="288">
        <f t="shared" si="4"/>
        <v>0</v>
      </c>
      <c r="BA70" s="288"/>
    </row>
    <row r="71" spans="45:53" s="246" customFormat="1" ht="15" x14ac:dyDescent="0.2">
      <c r="AS71" s="288" t="str">
        <f t="shared" si="9"/>
        <v/>
      </c>
      <c r="AT71" s="326">
        <f t="shared" si="5"/>
        <v>0</v>
      </c>
      <c r="AU71" s="326"/>
      <c r="AV71" s="326">
        <f t="shared" si="2"/>
        <v>0</v>
      </c>
      <c r="AW71" s="326">
        <f t="shared" si="6"/>
        <v>0</v>
      </c>
      <c r="AX71" s="288">
        <f t="shared" si="7"/>
        <v>0</v>
      </c>
      <c r="AY71" s="327">
        <f t="shared" si="8"/>
        <v>0</v>
      </c>
      <c r="AZ71" s="288">
        <f t="shared" si="4"/>
        <v>0</v>
      </c>
      <c r="BA71" s="288"/>
    </row>
    <row r="72" spans="45:53" s="246" customFormat="1" ht="15" x14ac:dyDescent="0.2">
      <c r="AS72" s="288" t="str">
        <f t="shared" si="9"/>
        <v/>
      </c>
      <c r="AT72" s="326">
        <f t="shared" si="5"/>
        <v>0</v>
      </c>
      <c r="AU72" s="326"/>
      <c r="AV72" s="326">
        <f t="shared" ref="AV72:AV114" si="10">$D$10*AT72</f>
        <v>0</v>
      </c>
      <c r="AW72" s="326">
        <f t="shared" si="6"/>
        <v>0</v>
      </c>
      <c r="AX72" s="288">
        <f t="shared" si="7"/>
        <v>0</v>
      </c>
      <c r="AY72" s="327">
        <f t="shared" si="8"/>
        <v>0</v>
      </c>
      <c r="AZ72" s="288">
        <f t="shared" ref="AZ72:AZ114" si="11">IF(ISNUMBER(AS72),AY72/(1+$D$7)^AS72,0)</f>
        <v>0</v>
      </c>
      <c r="BA72" s="288"/>
    </row>
    <row r="73" spans="45:53" s="246" customFormat="1" ht="15" x14ac:dyDescent="0.2">
      <c r="AS73" s="288" t="str">
        <f t="shared" si="9"/>
        <v/>
      </c>
      <c r="AT73" s="326">
        <f t="shared" ref="AT73:AT114" si="12">IF(ISNUMBER(AS73),AW72,0)</f>
        <v>0</v>
      </c>
      <c r="AU73" s="326"/>
      <c r="AV73" s="326">
        <f t="shared" si="10"/>
        <v>0</v>
      </c>
      <c r="AW73" s="326">
        <f t="shared" ref="AW73:AW114" si="13">AT73</f>
        <v>0</v>
      </c>
      <c r="AX73" s="288">
        <f t="shared" si="7"/>
        <v>0</v>
      </c>
      <c r="AY73" s="327">
        <f t="shared" si="8"/>
        <v>0</v>
      </c>
      <c r="AZ73" s="288">
        <f t="shared" si="11"/>
        <v>0</v>
      </c>
      <c r="BA73" s="288"/>
    </row>
    <row r="74" spans="45:53" s="246" customFormat="1" ht="15" x14ac:dyDescent="0.2">
      <c r="AS74" s="288" t="str">
        <f t="shared" si="9"/>
        <v/>
      </c>
      <c r="AT74" s="326">
        <f t="shared" si="12"/>
        <v>0</v>
      </c>
      <c r="AU74" s="326"/>
      <c r="AV74" s="326">
        <f t="shared" si="10"/>
        <v>0</v>
      </c>
      <c r="AW74" s="326">
        <f t="shared" si="13"/>
        <v>0</v>
      </c>
      <c r="AX74" s="288">
        <f t="shared" si="7"/>
        <v>0</v>
      </c>
      <c r="AY74" s="327">
        <f t="shared" si="8"/>
        <v>0</v>
      </c>
      <c r="AZ74" s="288">
        <f t="shared" si="11"/>
        <v>0</v>
      </c>
      <c r="BA74" s="288"/>
    </row>
    <row r="75" spans="45:53" s="246" customFormat="1" ht="15" x14ac:dyDescent="0.2">
      <c r="AS75" s="288" t="str">
        <f t="shared" si="9"/>
        <v/>
      </c>
      <c r="AT75" s="326">
        <f t="shared" si="12"/>
        <v>0</v>
      </c>
      <c r="AU75" s="326"/>
      <c r="AV75" s="326">
        <f t="shared" si="10"/>
        <v>0</v>
      </c>
      <c r="AW75" s="326">
        <f t="shared" si="13"/>
        <v>0</v>
      </c>
      <c r="AX75" s="288">
        <f t="shared" si="7"/>
        <v>0</v>
      </c>
      <c r="AY75" s="327">
        <f t="shared" si="8"/>
        <v>0</v>
      </c>
      <c r="AZ75" s="288">
        <f t="shared" si="11"/>
        <v>0</v>
      </c>
      <c r="BA75" s="288"/>
    </row>
    <row r="76" spans="45:53" s="246" customFormat="1" ht="15" x14ac:dyDescent="0.2">
      <c r="AS76" s="288" t="str">
        <f t="shared" si="9"/>
        <v/>
      </c>
      <c r="AT76" s="326">
        <f t="shared" si="12"/>
        <v>0</v>
      </c>
      <c r="AU76" s="326"/>
      <c r="AV76" s="326">
        <f t="shared" si="10"/>
        <v>0</v>
      </c>
      <c r="AW76" s="326">
        <f t="shared" si="13"/>
        <v>0</v>
      </c>
      <c r="AX76" s="288">
        <f t="shared" si="7"/>
        <v>0</v>
      </c>
      <c r="AY76" s="327">
        <f t="shared" si="8"/>
        <v>0</v>
      </c>
      <c r="AZ76" s="288">
        <f t="shared" si="11"/>
        <v>0</v>
      </c>
      <c r="BA76" s="288"/>
    </row>
    <row r="77" spans="45:53" s="246" customFormat="1" ht="15" x14ac:dyDescent="0.2">
      <c r="AS77" s="288" t="str">
        <f t="shared" si="9"/>
        <v/>
      </c>
      <c r="AT77" s="326">
        <f t="shared" si="12"/>
        <v>0</v>
      </c>
      <c r="AU77" s="326"/>
      <c r="AV77" s="326">
        <f t="shared" si="10"/>
        <v>0</v>
      </c>
      <c r="AW77" s="326">
        <f t="shared" si="13"/>
        <v>0</v>
      </c>
      <c r="AX77" s="288">
        <f t="shared" si="7"/>
        <v>0</v>
      </c>
      <c r="AY77" s="327">
        <f t="shared" si="8"/>
        <v>0</v>
      </c>
      <c r="AZ77" s="288">
        <f t="shared" si="11"/>
        <v>0</v>
      </c>
      <c r="BA77" s="288"/>
    </row>
    <row r="78" spans="45:53" s="246" customFormat="1" ht="15" x14ac:dyDescent="0.2">
      <c r="AS78" s="288" t="str">
        <f t="shared" si="9"/>
        <v/>
      </c>
      <c r="AT78" s="326">
        <f t="shared" si="12"/>
        <v>0</v>
      </c>
      <c r="AU78" s="326"/>
      <c r="AV78" s="326">
        <f t="shared" si="10"/>
        <v>0</v>
      </c>
      <c r="AW78" s="326">
        <f t="shared" si="13"/>
        <v>0</v>
      </c>
      <c r="AX78" s="288">
        <f t="shared" si="7"/>
        <v>0</v>
      </c>
      <c r="AY78" s="327">
        <f t="shared" si="8"/>
        <v>0</v>
      </c>
      <c r="AZ78" s="288">
        <f t="shared" si="11"/>
        <v>0</v>
      </c>
      <c r="BA78" s="288"/>
    </row>
    <row r="79" spans="45:53" s="246" customFormat="1" ht="15" x14ac:dyDescent="0.2">
      <c r="AS79" s="288" t="str">
        <f t="shared" si="9"/>
        <v/>
      </c>
      <c r="AT79" s="326">
        <f t="shared" si="12"/>
        <v>0</v>
      </c>
      <c r="AU79" s="326"/>
      <c r="AV79" s="326">
        <f t="shared" si="10"/>
        <v>0</v>
      </c>
      <c r="AW79" s="326">
        <f t="shared" si="13"/>
        <v>0</v>
      </c>
      <c r="AX79" s="288">
        <f t="shared" si="7"/>
        <v>0</v>
      </c>
      <c r="AY79" s="327">
        <f t="shared" si="8"/>
        <v>0</v>
      </c>
      <c r="AZ79" s="288">
        <f t="shared" si="11"/>
        <v>0</v>
      </c>
      <c r="BA79" s="288"/>
    </row>
    <row r="80" spans="45:53" s="246" customFormat="1" ht="15" x14ac:dyDescent="0.2">
      <c r="AS80" s="288" t="str">
        <f t="shared" si="9"/>
        <v/>
      </c>
      <c r="AT80" s="326">
        <f t="shared" si="12"/>
        <v>0</v>
      </c>
      <c r="AU80" s="326"/>
      <c r="AV80" s="326">
        <f t="shared" si="10"/>
        <v>0</v>
      </c>
      <c r="AW80" s="326">
        <f t="shared" si="13"/>
        <v>0</v>
      </c>
      <c r="AX80" s="288">
        <f t="shared" si="7"/>
        <v>0</v>
      </c>
      <c r="AY80" s="327">
        <f t="shared" si="8"/>
        <v>0</v>
      </c>
      <c r="AZ80" s="288">
        <f t="shared" si="11"/>
        <v>0</v>
      </c>
      <c r="BA80" s="288"/>
    </row>
    <row r="81" spans="45:53" s="246" customFormat="1" ht="15" x14ac:dyDescent="0.2">
      <c r="AS81" s="288" t="str">
        <f t="shared" si="9"/>
        <v/>
      </c>
      <c r="AT81" s="326">
        <f t="shared" si="12"/>
        <v>0</v>
      </c>
      <c r="AU81" s="326"/>
      <c r="AV81" s="326">
        <f t="shared" si="10"/>
        <v>0</v>
      </c>
      <c r="AW81" s="326">
        <f t="shared" si="13"/>
        <v>0</v>
      </c>
      <c r="AX81" s="288">
        <f t="shared" si="7"/>
        <v>0</v>
      </c>
      <c r="AY81" s="327">
        <f t="shared" si="8"/>
        <v>0</v>
      </c>
      <c r="AZ81" s="288">
        <f t="shared" si="11"/>
        <v>0</v>
      </c>
      <c r="BA81" s="288"/>
    </row>
    <row r="82" spans="45:53" s="246" customFormat="1" ht="15" x14ac:dyDescent="0.2">
      <c r="AS82" s="288" t="str">
        <f t="shared" si="9"/>
        <v/>
      </c>
      <c r="AT82" s="326">
        <f t="shared" si="12"/>
        <v>0</v>
      </c>
      <c r="AU82" s="326"/>
      <c r="AV82" s="326">
        <f t="shared" si="10"/>
        <v>0</v>
      </c>
      <c r="AW82" s="326">
        <f t="shared" si="13"/>
        <v>0</v>
      </c>
      <c r="AX82" s="288">
        <f t="shared" ref="AX82:AX114" si="14">IF(ISNUMBER(AS83),SUM(AU82:AV82),SUM(AU82:AW82))</f>
        <v>0</v>
      </c>
      <c r="AY82" s="327">
        <f t="shared" si="8"/>
        <v>0</v>
      </c>
      <c r="AZ82" s="288">
        <f t="shared" si="11"/>
        <v>0</v>
      </c>
      <c r="BA82" s="288"/>
    </row>
    <row r="83" spans="45:53" s="246" customFormat="1" ht="15" x14ac:dyDescent="0.2">
      <c r="AS83" s="288" t="str">
        <f t="shared" si="9"/>
        <v/>
      </c>
      <c r="AT83" s="326">
        <f t="shared" si="12"/>
        <v>0</v>
      </c>
      <c r="AU83" s="326"/>
      <c r="AV83" s="326">
        <f t="shared" si="10"/>
        <v>0</v>
      </c>
      <c r="AW83" s="326">
        <f t="shared" si="13"/>
        <v>0</v>
      </c>
      <c r="AX83" s="288">
        <f t="shared" si="14"/>
        <v>0</v>
      </c>
      <c r="AY83" s="327">
        <f t="shared" si="8"/>
        <v>0</v>
      </c>
      <c r="AZ83" s="288">
        <f t="shared" si="11"/>
        <v>0</v>
      </c>
      <c r="BA83" s="288"/>
    </row>
    <row r="84" spans="45:53" s="246" customFormat="1" ht="15" x14ac:dyDescent="0.2">
      <c r="AS84" s="288" t="str">
        <f t="shared" si="9"/>
        <v/>
      </c>
      <c r="AT84" s="326">
        <f t="shared" si="12"/>
        <v>0</v>
      </c>
      <c r="AU84" s="326"/>
      <c r="AV84" s="326">
        <f t="shared" si="10"/>
        <v>0</v>
      </c>
      <c r="AW84" s="326">
        <f t="shared" si="13"/>
        <v>0</v>
      </c>
      <c r="AX84" s="288">
        <f t="shared" si="14"/>
        <v>0</v>
      </c>
      <c r="AY84" s="327">
        <f t="shared" si="8"/>
        <v>0</v>
      </c>
      <c r="AZ84" s="288">
        <f t="shared" si="11"/>
        <v>0</v>
      </c>
      <c r="BA84" s="288"/>
    </row>
    <row r="85" spans="45:53" s="246" customFormat="1" ht="15" x14ac:dyDescent="0.2">
      <c r="AS85" s="288" t="str">
        <f t="shared" si="9"/>
        <v/>
      </c>
      <c r="AT85" s="326">
        <f t="shared" si="12"/>
        <v>0</v>
      </c>
      <c r="AU85" s="326"/>
      <c r="AV85" s="326">
        <f t="shared" si="10"/>
        <v>0</v>
      </c>
      <c r="AW85" s="326">
        <f t="shared" si="13"/>
        <v>0</v>
      </c>
      <c r="AX85" s="288">
        <f t="shared" si="14"/>
        <v>0</v>
      </c>
      <c r="AY85" s="327">
        <f t="shared" si="8"/>
        <v>0</v>
      </c>
      <c r="AZ85" s="288">
        <f t="shared" si="11"/>
        <v>0</v>
      </c>
      <c r="BA85" s="288"/>
    </row>
    <row r="86" spans="45:53" s="246" customFormat="1" ht="15" x14ac:dyDescent="0.2">
      <c r="AS86" s="288" t="str">
        <f t="shared" si="9"/>
        <v/>
      </c>
      <c r="AT86" s="326">
        <f t="shared" si="12"/>
        <v>0</v>
      </c>
      <c r="AU86" s="326"/>
      <c r="AV86" s="326">
        <f t="shared" si="10"/>
        <v>0</v>
      </c>
      <c r="AW86" s="326">
        <f t="shared" si="13"/>
        <v>0</v>
      </c>
      <c r="AX86" s="288">
        <f t="shared" si="14"/>
        <v>0</v>
      </c>
      <c r="AY86" s="327">
        <f t="shared" si="8"/>
        <v>0</v>
      </c>
      <c r="AZ86" s="288">
        <f t="shared" si="11"/>
        <v>0</v>
      </c>
      <c r="BA86" s="288"/>
    </row>
    <row r="87" spans="45:53" s="246" customFormat="1" ht="15" x14ac:dyDescent="0.2">
      <c r="AS87" s="288" t="str">
        <f t="shared" si="9"/>
        <v/>
      </c>
      <c r="AT87" s="326">
        <f t="shared" si="12"/>
        <v>0</v>
      </c>
      <c r="AU87" s="326"/>
      <c r="AV87" s="326">
        <f t="shared" si="10"/>
        <v>0</v>
      </c>
      <c r="AW87" s="326">
        <f t="shared" si="13"/>
        <v>0</v>
      </c>
      <c r="AX87" s="288">
        <f t="shared" si="14"/>
        <v>0</v>
      </c>
      <c r="AY87" s="327">
        <f t="shared" si="8"/>
        <v>0</v>
      </c>
      <c r="AZ87" s="288">
        <f t="shared" si="11"/>
        <v>0</v>
      </c>
      <c r="BA87" s="288"/>
    </row>
    <row r="88" spans="45:53" s="246" customFormat="1" ht="15" x14ac:dyDescent="0.2">
      <c r="AS88" s="288" t="str">
        <f t="shared" si="9"/>
        <v/>
      </c>
      <c r="AT88" s="326">
        <f t="shared" si="12"/>
        <v>0</v>
      </c>
      <c r="AU88" s="326"/>
      <c r="AV88" s="326">
        <f t="shared" si="10"/>
        <v>0</v>
      </c>
      <c r="AW88" s="326">
        <f t="shared" si="13"/>
        <v>0</v>
      </c>
      <c r="AX88" s="288">
        <f t="shared" si="14"/>
        <v>0</v>
      </c>
      <c r="AY88" s="327">
        <f t="shared" si="8"/>
        <v>0</v>
      </c>
      <c r="AZ88" s="288">
        <f t="shared" si="11"/>
        <v>0</v>
      </c>
      <c r="BA88" s="288"/>
    </row>
    <row r="89" spans="45:53" s="246" customFormat="1" ht="15" x14ac:dyDescent="0.2">
      <c r="AS89" s="288" t="str">
        <f t="shared" si="9"/>
        <v/>
      </c>
      <c r="AT89" s="326">
        <f t="shared" si="12"/>
        <v>0</v>
      </c>
      <c r="AU89" s="326"/>
      <c r="AV89" s="326">
        <f t="shared" si="10"/>
        <v>0</v>
      </c>
      <c r="AW89" s="326">
        <f t="shared" si="13"/>
        <v>0</v>
      </c>
      <c r="AX89" s="288">
        <f t="shared" si="14"/>
        <v>0</v>
      </c>
      <c r="AY89" s="327">
        <f t="shared" si="8"/>
        <v>0</v>
      </c>
      <c r="AZ89" s="288">
        <f t="shared" si="11"/>
        <v>0</v>
      </c>
      <c r="BA89" s="288"/>
    </row>
    <row r="90" spans="45:53" s="246" customFormat="1" ht="15" x14ac:dyDescent="0.2">
      <c r="AS90" s="288" t="str">
        <f t="shared" si="9"/>
        <v/>
      </c>
      <c r="AT90" s="326">
        <f t="shared" si="12"/>
        <v>0</v>
      </c>
      <c r="AU90" s="326"/>
      <c r="AV90" s="326">
        <f t="shared" si="10"/>
        <v>0</v>
      </c>
      <c r="AW90" s="326">
        <f t="shared" si="13"/>
        <v>0</v>
      </c>
      <c r="AX90" s="288">
        <f t="shared" si="14"/>
        <v>0</v>
      </c>
      <c r="AY90" s="327">
        <f t="shared" si="8"/>
        <v>0</v>
      </c>
      <c r="AZ90" s="288">
        <f t="shared" si="11"/>
        <v>0</v>
      </c>
      <c r="BA90" s="288"/>
    </row>
    <row r="91" spans="45:53" s="246" customFormat="1" ht="15" x14ac:dyDescent="0.2">
      <c r="AS91" s="288" t="str">
        <f t="shared" si="9"/>
        <v/>
      </c>
      <c r="AT91" s="326">
        <f t="shared" si="12"/>
        <v>0</v>
      </c>
      <c r="AU91" s="326"/>
      <c r="AV91" s="326">
        <f t="shared" si="10"/>
        <v>0</v>
      </c>
      <c r="AW91" s="326">
        <f t="shared" si="13"/>
        <v>0</v>
      </c>
      <c r="AX91" s="288">
        <f t="shared" si="14"/>
        <v>0</v>
      </c>
      <c r="AY91" s="327">
        <f t="shared" si="8"/>
        <v>0</v>
      </c>
      <c r="AZ91" s="288">
        <f t="shared" si="11"/>
        <v>0</v>
      </c>
      <c r="BA91" s="288"/>
    </row>
    <row r="92" spans="45:53" s="246" customFormat="1" ht="15" x14ac:dyDescent="0.2">
      <c r="AS92" s="288" t="str">
        <f t="shared" si="9"/>
        <v/>
      </c>
      <c r="AT92" s="326">
        <f t="shared" si="12"/>
        <v>0</v>
      </c>
      <c r="AU92" s="326"/>
      <c r="AV92" s="326">
        <f t="shared" si="10"/>
        <v>0</v>
      </c>
      <c r="AW92" s="326">
        <f t="shared" si="13"/>
        <v>0</v>
      </c>
      <c r="AX92" s="288">
        <f t="shared" si="14"/>
        <v>0</v>
      </c>
      <c r="AY92" s="327">
        <f t="shared" si="8"/>
        <v>0</v>
      </c>
      <c r="AZ92" s="288">
        <f t="shared" si="11"/>
        <v>0</v>
      </c>
      <c r="BA92" s="288"/>
    </row>
    <row r="93" spans="45:53" s="246" customFormat="1" ht="15" x14ac:dyDescent="0.2">
      <c r="AS93" s="288" t="str">
        <f t="shared" si="9"/>
        <v/>
      </c>
      <c r="AT93" s="326">
        <f t="shared" si="12"/>
        <v>0</v>
      </c>
      <c r="AU93" s="326"/>
      <c r="AV93" s="326">
        <f t="shared" si="10"/>
        <v>0</v>
      </c>
      <c r="AW93" s="326">
        <f t="shared" si="13"/>
        <v>0</v>
      </c>
      <c r="AX93" s="288">
        <f t="shared" si="14"/>
        <v>0</v>
      </c>
      <c r="AY93" s="327">
        <f t="shared" si="8"/>
        <v>0</v>
      </c>
      <c r="AZ93" s="288">
        <f t="shared" si="11"/>
        <v>0</v>
      </c>
      <c r="BA93" s="288"/>
    </row>
    <row r="94" spans="45:53" s="246" customFormat="1" ht="15" x14ac:dyDescent="0.2">
      <c r="AS94" s="288" t="str">
        <f t="shared" si="9"/>
        <v/>
      </c>
      <c r="AT94" s="326">
        <f t="shared" si="12"/>
        <v>0</v>
      </c>
      <c r="AU94" s="326"/>
      <c r="AV94" s="326">
        <f t="shared" si="10"/>
        <v>0</v>
      </c>
      <c r="AW94" s="326">
        <f t="shared" si="13"/>
        <v>0</v>
      </c>
      <c r="AX94" s="288">
        <f t="shared" si="14"/>
        <v>0</v>
      </c>
      <c r="AY94" s="327">
        <f t="shared" si="8"/>
        <v>0</v>
      </c>
      <c r="AZ94" s="288">
        <f t="shared" si="11"/>
        <v>0</v>
      </c>
      <c r="BA94" s="288"/>
    </row>
    <row r="95" spans="45:53" s="246" customFormat="1" ht="15" x14ac:dyDescent="0.2">
      <c r="AS95" s="288" t="str">
        <f t="shared" si="9"/>
        <v/>
      </c>
      <c r="AT95" s="326">
        <f t="shared" si="12"/>
        <v>0</v>
      </c>
      <c r="AU95" s="326"/>
      <c r="AV95" s="326">
        <f t="shared" si="10"/>
        <v>0</v>
      </c>
      <c r="AW95" s="326">
        <f t="shared" si="13"/>
        <v>0</v>
      </c>
      <c r="AX95" s="288">
        <f t="shared" si="14"/>
        <v>0</v>
      </c>
      <c r="AY95" s="327">
        <f t="shared" si="8"/>
        <v>0</v>
      </c>
      <c r="AZ95" s="288">
        <f t="shared" si="11"/>
        <v>0</v>
      </c>
      <c r="BA95" s="288"/>
    </row>
    <row r="96" spans="45:53" s="246" customFormat="1" ht="15" x14ac:dyDescent="0.2">
      <c r="AS96" s="288" t="str">
        <f t="shared" si="9"/>
        <v/>
      </c>
      <c r="AT96" s="326">
        <f t="shared" si="12"/>
        <v>0</v>
      </c>
      <c r="AU96" s="326"/>
      <c r="AV96" s="326">
        <f t="shared" si="10"/>
        <v>0</v>
      </c>
      <c r="AW96" s="326">
        <f t="shared" si="13"/>
        <v>0</v>
      </c>
      <c r="AX96" s="288">
        <f t="shared" si="14"/>
        <v>0</v>
      </c>
      <c r="AY96" s="327">
        <f t="shared" si="8"/>
        <v>0</v>
      </c>
      <c r="AZ96" s="288">
        <f t="shared" si="11"/>
        <v>0</v>
      </c>
      <c r="BA96" s="288"/>
    </row>
    <row r="97" spans="45:53" s="246" customFormat="1" ht="15" x14ac:dyDescent="0.2">
      <c r="AS97" s="288" t="str">
        <f t="shared" si="9"/>
        <v/>
      </c>
      <c r="AT97" s="326">
        <f t="shared" si="12"/>
        <v>0</v>
      </c>
      <c r="AU97" s="326"/>
      <c r="AV97" s="326">
        <f t="shared" si="10"/>
        <v>0</v>
      </c>
      <c r="AW97" s="326">
        <f t="shared" si="13"/>
        <v>0</v>
      </c>
      <c r="AX97" s="288">
        <f t="shared" si="14"/>
        <v>0</v>
      </c>
      <c r="AY97" s="327">
        <f t="shared" si="8"/>
        <v>0</v>
      </c>
      <c r="AZ97" s="288">
        <f t="shared" si="11"/>
        <v>0</v>
      </c>
      <c r="BA97" s="288"/>
    </row>
    <row r="98" spans="45:53" s="246" customFormat="1" ht="15" x14ac:dyDescent="0.2">
      <c r="AS98" s="288" t="str">
        <f t="shared" si="9"/>
        <v/>
      </c>
      <c r="AT98" s="326">
        <f t="shared" si="12"/>
        <v>0</v>
      </c>
      <c r="AU98" s="326"/>
      <c r="AV98" s="326">
        <f t="shared" si="10"/>
        <v>0</v>
      </c>
      <c r="AW98" s="326">
        <f t="shared" si="13"/>
        <v>0</v>
      </c>
      <c r="AX98" s="288">
        <f t="shared" si="14"/>
        <v>0</v>
      </c>
      <c r="AY98" s="327">
        <f t="shared" si="8"/>
        <v>0</v>
      </c>
      <c r="AZ98" s="288">
        <f t="shared" si="11"/>
        <v>0</v>
      </c>
      <c r="BA98" s="288"/>
    </row>
    <row r="99" spans="45:53" s="246" customFormat="1" ht="15" x14ac:dyDescent="0.2">
      <c r="AS99" s="288" t="str">
        <f t="shared" si="9"/>
        <v/>
      </c>
      <c r="AT99" s="326">
        <f t="shared" si="12"/>
        <v>0</v>
      </c>
      <c r="AU99" s="326"/>
      <c r="AV99" s="326">
        <f t="shared" si="10"/>
        <v>0</v>
      </c>
      <c r="AW99" s="326">
        <f t="shared" si="13"/>
        <v>0</v>
      </c>
      <c r="AX99" s="288">
        <f t="shared" si="14"/>
        <v>0</v>
      </c>
      <c r="AY99" s="327">
        <f t="shared" si="8"/>
        <v>0</v>
      </c>
      <c r="AZ99" s="288">
        <f t="shared" si="11"/>
        <v>0</v>
      </c>
      <c r="BA99" s="288"/>
    </row>
    <row r="100" spans="45:53" s="246" customFormat="1" ht="15" x14ac:dyDescent="0.2">
      <c r="AS100" s="288" t="str">
        <f t="shared" si="9"/>
        <v/>
      </c>
      <c r="AT100" s="326">
        <f t="shared" si="12"/>
        <v>0</v>
      </c>
      <c r="AU100" s="326"/>
      <c r="AV100" s="326">
        <f t="shared" si="10"/>
        <v>0</v>
      </c>
      <c r="AW100" s="326">
        <f t="shared" si="13"/>
        <v>0</v>
      </c>
      <c r="AX100" s="288">
        <f t="shared" si="14"/>
        <v>0</v>
      </c>
      <c r="AY100" s="327">
        <f t="shared" si="8"/>
        <v>0</v>
      </c>
      <c r="AZ100" s="288">
        <f t="shared" si="11"/>
        <v>0</v>
      </c>
      <c r="BA100" s="288"/>
    </row>
    <row r="101" spans="45:53" s="246" customFormat="1" ht="15" x14ac:dyDescent="0.2">
      <c r="AS101" s="288" t="str">
        <f t="shared" si="9"/>
        <v/>
      </c>
      <c r="AT101" s="326">
        <f t="shared" si="12"/>
        <v>0</v>
      </c>
      <c r="AU101" s="326"/>
      <c r="AV101" s="326">
        <f t="shared" si="10"/>
        <v>0</v>
      </c>
      <c r="AW101" s="326">
        <f t="shared" si="13"/>
        <v>0</v>
      </c>
      <c r="AX101" s="288">
        <f t="shared" si="14"/>
        <v>0</v>
      </c>
      <c r="AY101" s="327">
        <f t="shared" si="8"/>
        <v>0</v>
      </c>
      <c r="AZ101" s="288">
        <f t="shared" si="11"/>
        <v>0</v>
      </c>
      <c r="BA101" s="288"/>
    </row>
    <row r="102" spans="45:53" s="246" customFormat="1" ht="15" x14ac:dyDescent="0.2">
      <c r="AS102" s="288" t="str">
        <f t="shared" si="9"/>
        <v/>
      </c>
      <c r="AT102" s="326">
        <f t="shared" si="12"/>
        <v>0</v>
      </c>
      <c r="AU102" s="326"/>
      <c r="AV102" s="326">
        <f t="shared" si="10"/>
        <v>0</v>
      </c>
      <c r="AW102" s="326">
        <f t="shared" si="13"/>
        <v>0</v>
      </c>
      <c r="AX102" s="288">
        <f t="shared" si="14"/>
        <v>0</v>
      </c>
      <c r="AY102" s="327">
        <f t="shared" si="8"/>
        <v>0</v>
      </c>
      <c r="AZ102" s="288">
        <f t="shared" si="11"/>
        <v>0</v>
      </c>
      <c r="BA102" s="288"/>
    </row>
    <row r="103" spans="45:53" s="246" customFormat="1" ht="15" x14ac:dyDescent="0.2">
      <c r="AS103" s="288" t="str">
        <f t="shared" si="9"/>
        <v/>
      </c>
      <c r="AT103" s="326">
        <f t="shared" si="12"/>
        <v>0</v>
      </c>
      <c r="AU103" s="326"/>
      <c r="AV103" s="326">
        <f t="shared" si="10"/>
        <v>0</v>
      </c>
      <c r="AW103" s="326">
        <f t="shared" si="13"/>
        <v>0</v>
      </c>
      <c r="AX103" s="288">
        <f t="shared" si="14"/>
        <v>0</v>
      </c>
      <c r="AY103" s="327">
        <f t="shared" ref="AY103:AY114" si="15">LN(AX103+$J$37)-LN($J$37)</f>
        <v>0</v>
      </c>
      <c r="AZ103" s="288">
        <f t="shared" si="11"/>
        <v>0</v>
      </c>
      <c r="BA103" s="288"/>
    </row>
    <row r="104" spans="45:53" s="246" customFormat="1" ht="15" x14ac:dyDescent="0.2">
      <c r="AS104" s="288" t="str">
        <f t="shared" si="9"/>
        <v/>
      </c>
      <c r="AT104" s="326">
        <f t="shared" si="12"/>
        <v>0</v>
      </c>
      <c r="AU104" s="326"/>
      <c r="AV104" s="326">
        <f t="shared" si="10"/>
        <v>0</v>
      </c>
      <c r="AW104" s="326">
        <f t="shared" si="13"/>
        <v>0</v>
      </c>
      <c r="AX104" s="288">
        <f t="shared" si="14"/>
        <v>0</v>
      </c>
      <c r="AY104" s="327">
        <f t="shared" si="15"/>
        <v>0</v>
      </c>
      <c r="AZ104" s="288">
        <f t="shared" si="11"/>
        <v>0</v>
      </c>
      <c r="BA104" s="288"/>
    </row>
    <row r="105" spans="45:53" s="246" customFormat="1" ht="15" x14ac:dyDescent="0.2">
      <c r="AS105" s="288" t="str">
        <f t="shared" si="9"/>
        <v/>
      </c>
      <c r="AT105" s="326">
        <f t="shared" si="12"/>
        <v>0</v>
      </c>
      <c r="AU105" s="326"/>
      <c r="AV105" s="326">
        <f t="shared" si="10"/>
        <v>0</v>
      </c>
      <c r="AW105" s="326">
        <f t="shared" si="13"/>
        <v>0</v>
      </c>
      <c r="AX105" s="288">
        <f t="shared" si="14"/>
        <v>0</v>
      </c>
      <c r="AY105" s="327">
        <f t="shared" si="15"/>
        <v>0</v>
      </c>
      <c r="AZ105" s="288">
        <f t="shared" si="11"/>
        <v>0</v>
      </c>
      <c r="BA105" s="288"/>
    </row>
    <row r="106" spans="45:53" s="246" customFormat="1" ht="15" x14ac:dyDescent="0.2">
      <c r="AS106" s="288" t="str">
        <f t="shared" si="9"/>
        <v/>
      </c>
      <c r="AT106" s="326">
        <f t="shared" si="12"/>
        <v>0</v>
      </c>
      <c r="AU106" s="326"/>
      <c r="AV106" s="326">
        <f t="shared" si="10"/>
        <v>0</v>
      </c>
      <c r="AW106" s="326">
        <f t="shared" si="13"/>
        <v>0</v>
      </c>
      <c r="AX106" s="288">
        <f t="shared" si="14"/>
        <v>0</v>
      </c>
      <c r="AY106" s="327">
        <f t="shared" si="15"/>
        <v>0</v>
      </c>
      <c r="AZ106" s="288">
        <f t="shared" si="11"/>
        <v>0</v>
      </c>
      <c r="BA106" s="288"/>
    </row>
    <row r="107" spans="45:53" s="246" customFormat="1" ht="15" x14ac:dyDescent="0.2">
      <c r="AS107" s="288" t="str">
        <f t="shared" si="9"/>
        <v/>
      </c>
      <c r="AT107" s="326">
        <f t="shared" si="12"/>
        <v>0</v>
      </c>
      <c r="AU107" s="326"/>
      <c r="AV107" s="326">
        <f t="shared" si="10"/>
        <v>0</v>
      </c>
      <c r="AW107" s="326">
        <f t="shared" si="13"/>
        <v>0</v>
      </c>
      <c r="AX107" s="288">
        <f t="shared" si="14"/>
        <v>0</v>
      </c>
      <c r="AY107" s="327">
        <f t="shared" si="15"/>
        <v>0</v>
      </c>
      <c r="AZ107" s="288">
        <f t="shared" si="11"/>
        <v>0</v>
      </c>
      <c r="BA107" s="288"/>
    </row>
    <row r="108" spans="45:53" s="246" customFormat="1" ht="15" x14ac:dyDescent="0.2">
      <c r="AS108" s="288" t="str">
        <f t="shared" si="9"/>
        <v/>
      </c>
      <c r="AT108" s="326">
        <f t="shared" si="12"/>
        <v>0</v>
      </c>
      <c r="AU108" s="326"/>
      <c r="AV108" s="326">
        <f t="shared" si="10"/>
        <v>0</v>
      </c>
      <c r="AW108" s="326">
        <f t="shared" si="13"/>
        <v>0</v>
      </c>
      <c r="AX108" s="288">
        <f t="shared" si="14"/>
        <v>0</v>
      </c>
      <c r="AY108" s="327">
        <f t="shared" si="15"/>
        <v>0</v>
      </c>
      <c r="AZ108" s="288">
        <f t="shared" si="11"/>
        <v>0</v>
      </c>
      <c r="BA108" s="288"/>
    </row>
    <row r="109" spans="45:53" s="246" customFormat="1" ht="15" x14ac:dyDescent="0.2">
      <c r="AS109" s="288" t="str">
        <f t="shared" si="9"/>
        <v/>
      </c>
      <c r="AT109" s="326">
        <f t="shared" si="12"/>
        <v>0</v>
      </c>
      <c r="AU109" s="326"/>
      <c r="AV109" s="326">
        <f t="shared" si="10"/>
        <v>0</v>
      </c>
      <c r="AW109" s="326">
        <f t="shared" si="13"/>
        <v>0</v>
      </c>
      <c r="AX109" s="288">
        <f t="shared" si="14"/>
        <v>0</v>
      </c>
      <c r="AY109" s="327">
        <f t="shared" si="15"/>
        <v>0</v>
      </c>
      <c r="AZ109" s="288">
        <f t="shared" si="11"/>
        <v>0</v>
      </c>
      <c r="BA109" s="288"/>
    </row>
    <row r="110" spans="45:53" s="246" customFormat="1" ht="15" x14ac:dyDescent="0.2">
      <c r="AS110" s="288" t="str">
        <f t="shared" si="9"/>
        <v/>
      </c>
      <c r="AT110" s="326">
        <f t="shared" si="12"/>
        <v>0</v>
      </c>
      <c r="AU110" s="326"/>
      <c r="AV110" s="326">
        <f t="shared" si="10"/>
        <v>0</v>
      </c>
      <c r="AW110" s="326">
        <f t="shared" si="13"/>
        <v>0</v>
      </c>
      <c r="AX110" s="288">
        <f t="shared" si="14"/>
        <v>0</v>
      </c>
      <c r="AY110" s="327">
        <f t="shared" si="15"/>
        <v>0</v>
      </c>
      <c r="AZ110" s="288">
        <f t="shared" si="11"/>
        <v>0</v>
      </c>
      <c r="BA110" s="288"/>
    </row>
    <row r="111" spans="45:53" s="246" customFormat="1" ht="15" x14ac:dyDescent="0.2">
      <c r="AS111" s="288" t="str">
        <f t="shared" si="9"/>
        <v/>
      </c>
      <c r="AT111" s="326">
        <f t="shared" si="12"/>
        <v>0</v>
      </c>
      <c r="AU111" s="326"/>
      <c r="AV111" s="326">
        <f t="shared" si="10"/>
        <v>0</v>
      </c>
      <c r="AW111" s="326">
        <f t="shared" si="13"/>
        <v>0</v>
      </c>
      <c r="AX111" s="288">
        <f t="shared" si="14"/>
        <v>0</v>
      </c>
      <c r="AY111" s="327">
        <f t="shared" si="15"/>
        <v>0</v>
      </c>
      <c r="AZ111" s="288">
        <f t="shared" si="11"/>
        <v>0</v>
      </c>
      <c r="BA111" s="288"/>
    </row>
    <row r="112" spans="45:53" s="246" customFormat="1" ht="15" x14ac:dyDescent="0.2">
      <c r="AS112" s="288" t="str">
        <f t="shared" si="9"/>
        <v/>
      </c>
      <c r="AT112" s="326">
        <f t="shared" si="12"/>
        <v>0</v>
      </c>
      <c r="AU112" s="326"/>
      <c r="AV112" s="326">
        <f t="shared" si="10"/>
        <v>0</v>
      </c>
      <c r="AW112" s="326">
        <f t="shared" si="13"/>
        <v>0</v>
      </c>
      <c r="AX112" s="288">
        <f t="shared" si="14"/>
        <v>0</v>
      </c>
      <c r="AY112" s="327">
        <f t="shared" si="15"/>
        <v>0</v>
      </c>
      <c r="AZ112" s="288">
        <f t="shared" si="11"/>
        <v>0</v>
      </c>
      <c r="BA112" s="288"/>
    </row>
    <row r="113" spans="45:53" s="246" customFormat="1" ht="15" x14ac:dyDescent="0.2">
      <c r="AS113" s="288" t="str">
        <f t="shared" si="9"/>
        <v/>
      </c>
      <c r="AT113" s="326">
        <f t="shared" si="12"/>
        <v>0</v>
      </c>
      <c r="AU113" s="326"/>
      <c r="AV113" s="326">
        <f t="shared" si="10"/>
        <v>0</v>
      </c>
      <c r="AW113" s="326">
        <f t="shared" si="13"/>
        <v>0</v>
      </c>
      <c r="AX113" s="288">
        <f t="shared" si="14"/>
        <v>0</v>
      </c>
      <c r="AY113" s="327">
        <f t="shared" si="15"/>
        <v>0</v>
      </c>
      <c r="AZ113" s="288">
        <f t="shared" si="11"/>
        <v>0</v>
      </c>
      <c r="BA113" s="288"/>
    </row>
    <row r="114" spans="45:53" s="246" customFormat="1" ht="15" x14ac:dyDescent="0.2">
      <c r="AS114" s="288" t="str">
        <f t="shared" si="9"/>
        <v/>
      </c>
      <c r="AT114" s="326">
        <f t="shared" si="12"/>
        <v>0</v>
      </c>
      <c r="AU114" s="326"/>
      <c r="AV114" s="326">
        <f t="shared" si="10"/>
        <v>0</v>
      </c>
      <c r="AW114" s="326">
        <f t="shared" si="13"/>
        <v>0</v>
      </c>
      <c r="AX114" s="288">
        <f t="shared" si="14"/>
        <v>0</v>
      </c>
      <c r="AY114" s="327">
        <f t="shared" si="15"/>
        <v>0</v>
      </c>
      <c r="AZ114" s="288">
        <f t="shared" si="11"/>
        <v>0</v>
      </c>
      <c r="BA114" s="288"/>
    </row>
    <row r="115" spans="45:53" s="246" customFormat="1" ht="15" x14ac:dyDescent="0.2">
      <c r="BA115" s="288"/>
    </row>
    <row r="116" spans="45:53" s="246" customFormat="1" ht="15" x14ac:dyDescent="0.2">
      <c r="BA116" s="288"/>
    </row>
    <row r="117" spans="45:53" s="246" customFormat="1" ht="15" x14ac:dyDescent="0.2">
      <c r="BA117" s="288"/>
    </row>
    <row r="118" spans="45:53" s="246" customFormat="1" ht="15" x14ac:dyDescent="0.2">
      <c r="BA118" s="288"/>
    </row>
    <row r="119" spans="45:53" ht="15" x14ac:dyDescent="0.2">
      <c r="BA119" s="232"/>
    </row>
  </sheetData>
  <mergeCells count="68">
    <mergeCell ref="J37:N37"/>
    <mergeCell ref="O37:P37"/>
    <mergeCell ref="D38:G38"/>
    <mergeCell ref="R38:T38"/>
    <mergeCell ref="B23:E26"/>
    <mergeCell ref="F31:F34"/>
    <mergeCell ref="R33:V33"/>
    <mergeCell ref="B36:B38"/>
    <mergeCell ref="D36:F36"/>
    <mergeCell ref="H36:I36"/>
    <mergeCell ref="J36:N36"/>
    <mergeCell ref="O36:P36"/>
    <mergeCell ref="D37:F37"/>
    <mergeCell ref="H37:I37"/>
    <mergeCell ref="L17:M17"/>
    <mergeCell ref="T17:U17"/>
    <mergeCell ref="T18:U18"/>
    <mergeCell ref="T19:U19"/>
    <mergeCell ref="F21:F24"/>
    <mergeCell ref="Q21:Q25"/>
    <mergeCell ref="R21:S22"/>
    <mergeCell ref="U21:W22"/>
    <mergeCell ref="Q13:Q14"/>
    <mergeCell ref="T13:U13"/>
    <mergeCell ref="V13:W13"/>
    <mergeCell ref="B14:B18"/>
    <mergeCell ref="C14:C15"/>
    <mergeCell ref="D14:D15"/>
    <mergeCell ref="F14:F15"/>
    <mergeCell ref="G14:G15"/>
    <mergeCell ref="T14:U14"/>
    <mergeCell ref="V14:W14"/>
    <mergeCell ref="T15:U15"/>
    <mergeCell ref="C16:C17"/>
    <mergeCell ref="D16:D17"/>
    <mergeCell ref="F16:F17"/>
    <mergeCell ref="G16:G17"/>
    <mergeCell ref="T16:U16"/>
    <mergeCell ref="V10:W10"/>
    <mergeCell ref="Z10:AA10"/>
    <mergeCell ref="T11:U11"/>
    <mergeCell ref="V11:W11"/>
    <mergeCell ref="T12:U12"/>
    <mergeCell ref="V12:W12"/>
    <mergeCell ref="AE6:AE7"/>
    <mergeCell ref="B7:B11"/>
    <mergeCell ref="Q8:Q11"/>
    <mergeCell ref="T8:U8"/>
    <mergeCell ref="V8:W8"/>
    <mergeCell ref="C9:D9"/>
    <mergeCell ref="T9:U9"/>
    <mergeCell ref="V9:W9"/>
    <mergeCell ref="Z9:AA9"/>
    <mergeCell ref="T10:U10"/>
    <mergeCell ref="C6:D6"/>
    <mergeCell ref="I6:J6"/>
    <mergeCell ref="L6:M6"/>
    <mergeCell ref="T6:U6"/>
    <mergeCell ref="V6:W6"/>
    <mergeCell ref="AD6:AD7"/>
    <mergeCell ref="S2:T3"/>
    <mergeCell ref="Z2:AB3"/>
    <mergeCell ref="B4:D5"/>
    <mergeCell ref="F4:G5"/>
    <mergeCell ref="T4:U4"/>
    <mergeCell ref="V4:W4"/>
    <mergeCell ref="T5:U5"/>
    <mergeCell ref="V5:W5"/>
  </mergeCells>
  <phoneticPr fontId="49" type="noConversion"/>
  <dataValidations count="3">
    <dataValidation type="list" allowBlank="1" showInputMessage="1" sqref="K9">
      <formula1>$C$30:$G$30</formula1>
    </dataValidation>
    <dataValidation type="list" allowBlank="1" showInputMessage="1" sqref="K14">
      <formula1>$C$21:$G$21</formula1>
    </dataValidation>
    <dataValidation type="list" allowBlank="1" showInputMessage="1" sqref="K15">
      <formula1>$C$28:$G$28</formula1>
    </dataValidation>
  </dataValidations>
  <hyperlinks>
    <hyperlink ref="H38" r:id="rId1" location="Grantstructure"/>
  </hyperlinks>
  <pageMargins left="0.7" right="0.7" top="0.75" bottom="0.75" header="0.3" footer="0.3"/>
  <legacyDrawing r:id="rId2"/>
  <extLst>
    <ext xmlns:x14="http://schemas.microsoft.com/office/spreadsheetml/2009/9/main" uri="{CCE6A557-97BC-4b89-ADB6-D9C93CAAB3DF}">
      <x14:dataValidations xmlns:xm="http://schemas.microsoft.com/office/excel/2006/main" count="36">
        <x14:dataValidation type="list" allowBlank="1" showInputMessage="1">
          <x14:formula1>
            <xm:f>Parameters!$D$5:$H$5</xm:f>
          </x14:formula1>
          <xm:sqref>G7</xm:sqref>
        </x14:dataValidation>
        <x14:dataValidation type="list" allowBlank="1" showInputMessage="1">
          <x14:formula1>
            <xm:f>Parameters!$D$9:$H$9</xm:f>
          </x14:formula1>
          <xm:sqref>G10</xm:sqref>
        </x14:dataValidation>
        <x14:dataValidation type="list" allowBlank="1" showInputMessage="1">
          <x14:formula1>
            <xm:f>Parameters!$D$8:$H$8</xm:f>
          </x14:formula1>
          <xm:sqref>G8</xm:sqref>
        </x14:dataValidation>
        <x14:dataValidation type="list" allowBlank="1" showInputMessage="1">
          <x14:formula1>
            <xm:f>Parameters!$D$32:$H$32</xm:f>
          </x14:formula1>
          <xm:sqref>G18</xm:sqref>
        </x14:dataValidation>
        <x14:dataValidation type="list" allowBlank="1" showInputMessage="1">
          <x14:formula1>
            <xm:f>Parameters!$D$7:$H$7</xm:f>
          </x14:formula1>
          <xm:sqref>G9</xm:sqref>
        </x14:dataValidation>
        <x14:dataValidation type="list" allowBlank="1" showInputMessage="1">
          <x14:formula1>
            <xm:f>Parameters!$D$4:$H$4</xm:f>
          </x14:formula1>
          <xm:sqref>D7</xm:sqref>
        </x14:dataValidation>
        <x14:dataValidation type="list" allowBlank="1" showInputMessage="1">
          <x14:formula1>
            <xm:f>Parameters!$D$14:$H$14</xm:f>
          </x14:formula1>
          <xm:sqref>J17:K17</xm:sqref>
        </x14:dataValidation>
        <x14:dataValidation type="list" allowBlank="1" showInputMessage="1">
          <x14:formula1>
            <xm:f>Parameters!$D$17:$H$17</xm:f>
          </x14:formula1>
          <xm:sqref>J18:K18</xm:sqref>
        </x14:dataValidation>
        <x14:dataValidation type="list" allowBlank="1" showInputMessage="1">
          <x14:formula1>
            <xm:f>Parameters!$D$21:$H$21</xm:f>
          </x14:formula1>
          <xm:sqref>J16:K16</xm:sqref>
        </x14:dataValidation>
        <x14:dataValidation type="list" allowBlank="1" showInputMessage="1">
          <x14:formula1>
            <xm:f>Parameters!$D$18:$H$18</xm:f>
          </x14:formula1>
          <xm:sqref>J10</xm:sqref>
        </x14:dataValidation>
        <x14:dataValidation type="list" allowBlank="1" showInputMessage="1">
          <x14:formula1>
            <xm:f>Parameters!$E$23:$G$23</xm:f>
          </x14:formula1>
          <xm:sqref>K7</xm:sqref>
        </x14:dataValidation>
        <x14:dataValidation type="list" allowBlank="1" showInputMessage="1">
          <x14:formula1>
            <xm:f>Parameters!$D$23:$H$23</xm:f>
          </x14:formula1>
          <xm:sqref>J7</xm:sqref>
        </x14:dataValidation>
        <x14:dataValidation type="list" allowBlank="1" showInputMessage="1">
          <x14:formula1>
            <xm:f>Parameters!$E$16:$I$16</xm:f>
          </x14:formula1>
          <xm:sqref>K10</xm:sqref>
        </x14:dataValidation>
        <x14:dataValidation type="list" allowBlank="1" showInputMessage="1">
          <x14:formula1>
            <xm:f>Parameters!$D$16:$H$16</xm:f>
          </x14:formula1>
          <xm:sqref>J8</xm:sqref>
        </x14:dataValidation>
        <x14:dataValidation type="list" allowBlank="1" showInputMessage="1">
          <x14:formula1>
            <xm:f>Parameters!$D$36:$H$36</xm:f>
          </x14:formula1>
          <xm:sqref>M7</xm:sqref>
        </x14:dataValidation>
        <x14:dataValidation type="list" allowBlank="1" showInputMessage="1">
          <x14:formula1>
            <xm:f>Parameters!$D$37:$H$37</xm:f>
          </x14:formula1>
          <xm:sqref>M8</xm:sqref>
        </x14:dataValidation>
        <x14:dataValidation type="list" allowBlank="1" showInputMessage="1">
          <x14:formula1>
            <xm:f>Parameters!$D$38:$H$38</xm:f>
          </x14:formula1>
          <xm:sqref>M9</xm:sqref>
        </x14:dataValidation>
        <x14:dataValidation type="list" allowBlank="1" showInputMessage="1">
          <x14:formula1>
            <xm:f>Parameters!$D$39:$H$39</xm:f>
          </x14:formula1>
          <xm:sqref>M10</xm:sqref>
        </x14:dataValidation>
        <x14:dataValidation type="list" allowBlank="1" showInputMessage="1">
          <x14:formula1>
            <xm:f>Parameters!$D$40:$H$40</xm:f>
          </x14:formula1>
          <xm:sqref>M11</xm:sqref>
        </x14:dataValidation>
        <x14:dataValidation type="list" allowBlank="1" showInputMessage="1">
          <x14:formula1>
            <xm:f>Parameters!$D$41:$H$41</xm:f>
          </x14:formula1>
          <xm:sqref>M12</xm:sqref>
        </x14:dataValidation>
        <x14:dataValidation type="list" allowBlank="1" showInputMessage="1">
          <x14:formula1>
            <xm:f>Parameters!$D$42:$H$42</xm:f>
          </x14:formula1>
          <xm:sqref>M13</xm:sqref>
        </x14:dataValidation>
        <x14:dataValidation type="list" allowBlank="1" showInputMessage="1">
          <x14:formula1>
            <xm:f>Parameters!$D$43:$H$43</xm:f>
          </x14:formula1>
          <xm:sqref>M14</xm:sqref>
        </x14:dataValidation>
        <x14:dataValidation type="list" allowBlank="1" showInputMessage="1">
          <x14:formula1>
            <xm:f>Parameters!$D$44:$H$44</xm:f>
          </x14:formula1>
          <xm:sqref>M15</xm:sqref>
        </x14:dataValidation>
        <x14:dataValidation type="list" allowBlank="1" showInputMessage="1">
          <x14:formula1>
            <xm:f>Parameters!$D$25:$H$25</xm:f>
          </x14:formula1>
          <xm:sqref>J9</xm:sqref>
        </x14:dataValidation>
        <x14:dataValidation type="list" allowBlank="1" showInputMessage="1">
          <x14:formula1>
            <xm:f>Parameters!$D$24:$H$24</xm:f>
          </x14:formula1>
          <xm:sqref>J11</xm:sqref>
        </x14:dataValidation>
        <x14:dataValidation type="list" allowBlank="1" showInputMessage="1">
          <x14:formula1>
            <xm:f>Parameters!$D$15:$H$15</xm:f>
          </x14:formula1>
          <xm:sqref>J15</xm:sqref>
        </x14:dataValidation>
        <x14:dataValidation type="list" allowBlank="1" showInputMessage="1">
          <x14:formula1>
            <xm:f>Parameters!$D$22:$H$22</xm:f>
          </x14:formula1>
          <xm:sqref>J14</xm:sqref>
        </x14:dataValidation>
        <x14:dataValidation type="list" allowBlank="1" showInputMessage="1">
          <x14:formula1>
            <xm:f>Parameters!$D$28:$H$28</xm:f>
          </x14:formula1>
          <xm:sqref>G16</xm:sqref>
        </x14:dataValidation>
        <x14:dataValidation type="list" allowBlank="1" showInputMessage="1">
          <x14:formula1>
            <xm:f>Parameters!$D$10:$H$10</xm:f>
          </x14:formula1>
          <xm:sqref>G14</xm:sqref>
        </x14:dataValidation>
        <x14:dataValidation type="list" allowBlank="1" showInputMessage="1">
          <x14:formula1>
            <xm:f>Parameters!$D$56:$H$56</xm:f>
          </x14:formula1>
          <xm:sqref>D14</xm:sqref>
        </x14:dataValidation>
        <x14:dataValidation type="list" allowBlank="1" showInputMessage="1">
          <x14:formula1>
            <xm:f>Parameters!$D$55:$H$55</xm:f>
          </x14:formula1>
          <xm:sqref>D11</xm:sqref>
        </x14:dataValidation>
        <x14:dataValidation type="list" allowBlank="1" showInputMessage="1">
          <x14:formula1>
            <xm:f>Parameters!$D$54:$H$54</xm:f>
          </x14:formula1>
          <xm:sqref>D10</xm:sqref>
        </x14:dataValidation>
        <x14:dataValidation type="list" allowBlank="1" showInputMessage="1">
          <x14:formula1>
            <xm:f>Parameters!$D$57:$H$57</xm:f>
          </x14:formula1>
          <xm:sqref>D16:D17</xm:sqref>
        </x14:dataValidation>
        <x14:dataValidation type="list" allowBlank="1" showInputMessage="1">
          <x14:formula1>
            <xm:f>Parameters!$D$33:$H$33</xm:f>
          </x14:formula1>
          <xm:sqref>G11</xm:sqref>
        </x14:dataValidation>
        <x14:dataValidation type="list" allowBlank="1" showInputMessage="1">
          <x14:formula1>
            <xm:f>Parameters!$D$6:$H$6</xm:f>
          </x14:formula1>
          <xm:sqref>G13</xm:sqref>
        </x14:dataValidation>
        <x14:dataValidation type="list" allowBlank="1" showInputMessage="1">
          <x14:formula1>
            <xm:f>Parameters!$D$51:$H$51</xm:f>
          </x14:formula1>
          <xm:sqref>M18</xm:sqref>
        </x14:dataValidation>
      </x14:dataValidations>
    </ext>
  </extLst>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B119"/>
  <sheetViews>
    <sheetView workbookViewId="0"/>
  </sheetViews>
  <sheetFormatPr baseColWidth="10" defaultColWidth="8.83203125" defaultRowHeight="11" x14ac:dyDescent="0.15"/>
  <cols>
    <col min="1" max="1" width="1.5" style="233" customWidth="1"/>
    <col min="2" max="2" width="9.5" style="233" customWidth="1"/>
    <col min="3" max="3" width="14.5" style="233" customWidth="1"/>
    <col min="4" max="4" width="5.83203125" style="233" customWidth="1"/>
    <col min="5" max="5" width="1.83203125" style="233" customWidth="1"/>
    <col min="6" max="6" width="21.5" style="233" customWidth="1"/>
    <col min="7" max="7" width="13.5" style="233" customWidth="1"/>
    <col min="8" max="8" width="1.5" style="233" customWidth="1"/>
    <col min="9" max="9" width="16.5" style="233" customWidth="1"/>
    <col min="10" max="10" width="8.5" style="233" customWidth="1"/>
    <col min="11" max="11" width="1.5" style="233" customWidth="1"/>
    <col min="12" max="12" width="22.83203125" style="233" customWidth="1"/>
    <col min="13" max="13" width="8.5" style="233" customWidth="1"/>
    <col min="14" max="14" width="0.83203125" style="233" customWidth="1"/>
    <col min="15" max="15" width="2.83203125" style="233" customWidth="1"/>
    <col min="16" max="16" width="2.5" style="233" customWidth="1"/>
    <col min="17" max="17" width="15.5" style="233" customWidth="1"/>
    <col min="18" max="18" width="30.83203125" style="233" customWidth="1"/>
    <col min="19" max="19" width="23.5" style="233" customWidth="1"/>
    <col min="20" max="20" width="1" style="233" customWidth="1"/>
    <col min="21" max="21" width="24.5" style="233" customWidth="1"/>
    <col min="22" max="23" width="12.5" style="233" customWidth="1"/>
    <col min="24" max="24" width="12.5" style="246" customWidth="1"/>
    <col min="25" max="25" width="13.5" style="233" customWidth="1"/>
    <col min="26" max="26" width="14.1640625" style="233" customWidth="1"/>
    <col min="27" max="28" width="11.5" style="233" customWidth="1"/>
    <col min="29" max="29" width="2.5" style="233" customWidth="1"/>
    <col min="30" max="30" width="28.5" style="233" customWidth="1"/>
    <col min="31" max="31" width="14.5" style="233" bestFit="1" customWidth="1"/>
    <col min="32" max="16384" width="8.83203125" style="233"/>
  </cols>
  <sheetData>
    <row r="1" spans="1:54" ht="6" customHeight="1" thickBot="1" x14ac:dyDescent="0.35">
      <c r="A1" s="274"/>
      <c r="B1" s="246"/>
      <c r="C1" s="246"/>
      <c r="D1" s="246"/>
      <c r="E1" s="246"/>
      <c r="F1" s="246"/>
      <c r="G1" s="246"/>
      <c r="H1" s="246"/>
      <c r="I1" s="246"/>
      <c r="J1" s="246"/>
      <c r="K1" s="246"/>
      <c r="L1" s="246"/>
      <c r="M1" s="246"/>
      <c r="N1" s="246"/>
      <c r="O1" s="246"/>
      <c r="P1" s="246"/>
      <c r="Q1" s="246"/>
      <c r="R1" s="254"/>
      <c r="S1" s="246"/>
      <c r="T1" s="246"/>
      <c r="U1" s="246"/>
      <c r="V1" s="246"/>
      <c r="W1" s="246"/>
      <c r="Y1" s="246"/>
      <c r="Z1" s="246"/>
      <c r="AA1" s="246"/>
      <c r="AB1" s="246"/>
      <c r="AC1" s="246"/>
      <c r="AD1" s="246"/>
      <c r="AE1" s="246"/>
      <c r="AF1" s="246"/>
      <c r="AG1" s="246"/>
      <c r="AH1" s="246"/>
      <c r="AI1" s="246"/>
      <c r="AJ1" s="246"/>
      <c r="AK1" s="246"/>
      <c r="AL1" s="246"/>
      <c r="AM1" s="246"/>
      <c r="AN1" s="246"/>
      <c r="AO1" s="246"/>
      <c r="AP1" s="246"/>
      <c r="AQ1" s="246"/>
    </row>
    <row r="2" spans="1:54" ht="15" customHeight="1" x14ac:dyDescent="0.25">
      <c r="A2" s="246"/>
      <c r="B2" s="246"/>
      <c r="C2" s="334"/>
      <c r="D2" s="249"/>
      <c r="E2" s="249"/>
      <c r="F2" s="246"/>
      <c r="G2" s="246"/>
      <c r="H2" s="246"/>
      <c r="I2" s="246"/>
      <c r="J2" s="246"/>
      <c r="K2" s="274"/>
      <c r="L2" s="386"/>
      <c r="M2" s="274"/>
      <c r="N2" s="246"/>
      <c r="O2" s="246"/>
      <c r="P2" s="246"/>
      <c r="Q2" s="246"/>
      <c r="S2" s="553" t="s">
        <v>409</v>
      </c>
      <c r="T2" s="554"/>
      <c r="U2" s="333"/>
      <c r="V2" s="333"/>
      <c r="W2" s="333"/>
      <c r="X2" s="333"/>
      <c r="Y2" s="246"/>
      <c r="Z2" s="557" t="s">
        <v>290</v>
      </c>
      <c r="AA2" s="657"/>
      <c r="AB2" s="658"/>
      <c r="AC2" s="246"/>
      <c r="AD2" s="246"/>
      <c r="AE2" s="246"/>
      <c r="AF2" s="246"/>
      <c r="AG2" s="246"/>
      <c r="AH2" s="246"/>
      <c r="AI2" s="246"/>
      <c r="AJ2" s="246"/>
      <c r="AK2" s="246"/>
      <c r="AL2" s="246"/>
      <c r="AM2" s="246"/>
      <c r="AN2" s="246"/>
      <c r="AO2" s="246"/>
      <c r="AP2" s="246"/>
      <c r="AQ2" s="246"/>
      <c r="AS2" s="232" t="s">
        <v>477</v>
      </c>
      <c r="AT2" s="232" t="s">
        <v>478</v>
      </c>
      <c r="AU2" s="232" t="s">
        <v>479</v>
      </c>
      <c r="AV2" s="232" t="s">
        <v>480</v>
      </c>
      <c r="AW2" s="232" t="s">
        <v>481</v>
      </c>
      <c r="AX2" s="232" t="s">
        <v>482</v>
      </c>
      <c r="AY2" s="232" t="s">
        <v>483</v>
      </c>
      <c r="AZ2" s="232" t="s">
        <v>432</v>
      </c>
      <c r="BA2" s="232" t="s">
        <v>485</v>
      </c>
    </row>
    <row r="3" spans="1:54" ht="19.5" customHeight="1" thickBot="1" x14ac:dyDescent="0.3">
      <c r="A3" s="246"/>
      <c r="B3" s="334"/>
      <c r="C3" s="334"/>
      <c r="D3" s="249"/>
      <c r="E3" s="249"/>
      <c r="F3" s="246"/>
      <c r="G3" s="246"/>
      <c r="H3" s="246"/>
      <c r="I3" s="246"/>
      <c r="J3" s="246"/>
      <c r="K3" s="274"/>
      <c r="L3" s="274"/>
      <c r="M3" s="274"/>
      <c r="N3" s="246"/>
      <c r="O3" s="246"/>
      <c r="P3" s="246"/>
      <c r="Q3" s="246"/>
      <c r="R3" s="333"/>
      <c r="S3" s="655"/>
      <c r="T3" s="656"/>
      <c r="U3" s="333"/>
      <c r="V3" s="333"/>
      <c r="W3" s="333"/>
      <c r="X3" s="333"/>
      <c r="Y3" s="246"/>
      <c r="Z3" s="659"/>
      <c r="AA3" s="660"/>
      <c r="AB3" s="661"/>
      <c r="AC3" s="246"/>
      <c r="AD3" s="246"/>
      <c r="AE3" s="246"/>
      <c r="AF3" s="246"/>
      <c r="AG3" s="246"/>
      <c r="AH3" s="246"/>
      <c r="AI3" s="246"/>
      <c r="AJ3" s="246"/>
      <c r="AK3" s="246"/>
      <c r="AL3" s="246"/>
      <c r="AM3" s="246"/>
      <c r="AN3" s="246"/>
      <c r="AO3" s="246"/>
      <c r="AP3" s="246"/>
      <c r="AQ3" s="246"/>
      <c r="AS3" s="232"/>
      <c r="AT3" s="232"/>
      <c r="AU3" s="232"/>
      <c r="AV3" s="232"/>
      <c r="AW3" s="232"/>
      <c r="AX3" s="232"/>
      <c r="AY3" s="232"/>
      <c r="AZ3" s="232"/>
      <c r="BA3" s="232"/>
    </row>
    <row r="4" spans="1:54" ht="40.75" customHeight="1" x14ac:dyDescent="0.2">
      <c r="A4" s="246"/>
      <c r="B4" s="563" t="s">
        <v>365</v>
      </c>
      <c r="C4" s="563"/>
      <c r="D4" s="563"/>
      <c r="E4" s="336"/>
      <c r="F4" s="565" t="s">
        <v>408</v>
      </c>
      <c r="G4" s="566"/>
      <c r="H4" s="249"/>
      <c r="I4" s="246"/>
      <c r="J4" s="246"/>
      <c r="K4" s="246"/>
      <c r="L4" s="246"/>
      <c r="M4" s="246"/>
      <c r="N4" s="277"/>
      <c r="O4" s="277"/>
      <c r="P4" s="277"/>
      <c r="Q4" s="332"/>
      <c r="R4" s="457" t="s">
        <v>393</v>
      </c>
      <c r="S4" s="457" t="s">
        <v>245</v>
      </c>
      <c r="T4" s="569" t="s">
        <v>244</v>
      </c>
      <c r="U4" s="569"/>
      <c r="V4" s="569" t="s">
        <v>395</v>
      </c>
      <c r="W4" s="570"/>
      <c r="X4" s="238"/>
      <c r="Y4" s="246"/>
      <c r="Z4" s="369" t="s">
        <v>291</v>
      </c>
      <c r="AA4" s="370"/>
      <c r="AB4" s="371"/>
      <c r="AC4" s="242"/>
      <c r="AD4" s="372" t="s">
        <v>292</v>
      </c>
      <c r="AE4" s="373"/>
      <c r="AF4" s="246"/>
      <c r="AG4" s="246"/>
      <c r="AH4" s="246"/>
      <c r="AI4" s="246"/>
      <c r="AJ4" s="246"/>
      <c r="AK4" s="246"/>
      <c r="AL4" s="246"/>
      <c r="AM4" s="246"/>
      <c r="AN4" s="246"/>
      <c r="AO4" s="246"/>
      <c r="AP4" s="246"/>
      <c r="AQ4" s="246"/>
      <c r="AS4" s="232">
        <v>0</v>
      </c>
      <c r="AT4" s="278">
        <f>Q37</f>
        <v>212.7659574468085</v>
      </c>
      <c r="AU4" s="278">
        <f>(1-$D$11)*AT4</f>
        <v>106.38297872340425</v>
      </c>
      <c r="AV4" s="278"/>
      <c r="AW4" s="232"/>
      <c r="AX4" s="232">
        <f>IF(ISNUMBER(AS5),SUM(AU4:AV4),SUM(AU4:AW4))</f>
        <v>106.38297872340425</v>
      </c>
      <c r="AY4" s="279">
        <f t="shared" ref="AY4:AY30" si="0">LN(AX4+$J$37)-LN($J$37)</f>
        <v>0.31632022465180309</v>
      </c>
      <c r="AZ4" s="232">
        <f>IF(ISNUMBER(AS4),AY4/(1+$D$7)^AS4,0)</f>
        <v>0.31632022465180309</v>
      </c>
      <c r="BA4" s="232"/>
    </row>
    <row r="5" spans="1:54" ht="10.75" customHeight="1" thickBot="1" x14ac:dyDescent="0.25">
      <c r="A5" s="246"/>
      <c r="B5" s="564"/>
      <c r="C5" s="564"/>
      <c r="D5" s="564"/>
      <c r="E5" s="335"/>
      <c r="F5" s="567"/>
      <c r="G5" s="568"/>
      <c r="H5" s="256"/>
      <c r="I5" s="256"/>
      <c r="J5" s="246"/>
      <c r="K5" s="246"/>
      <c r="L5" s="246"/>
      <c r="M5" s="246"/>
      <c r="N5" s="246"/>
      <c r="O5" s="246"/>
      <c r="P5" s="246"/>
      <c r="Q5" s="459" t="s">
        <v>411</v>
      </c>
      <c r="R5" s="458">
        <f>D37/(1+D7)^10</f>
        <v>0.2001612631072191</v>
      </c>
      <c r="S5" s="458">
        <f>R5*(1-1/(1+D7)^G16)/(1-1/(1+D7))</f>
        <v>3.5900007656555277</v>
      </c>
      <c r="T5" s="582">
        <f>S5*G11*G7*G9*G18*G8/G37</f>
        <v>0.16087970236132654</v>
      </c>
      <c r="U5" s="582"/>
      <c r="V5" s="572">
        <f>$G$14*$G$10</f>
        <v>3.5216359999999999E-3</v>
      </c>
      <c r="W5" s="589"/>
      <c r="X5" s="238"/>
      <c r="Y5" s="246"/>
      <c r="Z5" s="357" t="s">
        <v>121</v>
      </c>
      <c r="AA5" s="358"/>
      <c r="AB5" s="359"/>
      <c r="AC5" s="247"/>
      <c r="AD5" s="238"/>
      <c r="AE5" s="244"/>
      <c r="AF5" s="246"/>
      <c r="AG5" s="246"/>
      <c r="AH5" s="246"/>
      <c r="AI5" s="246"/>
      <c r="AJ5" s="246"/>
      <c r="AK5" s="246"/>
      <c r="AL5" s="246"/>
      <c r="AM5" s="246"/>
      <c r="AN5" s="246"/>
      <c r="AO5" s="246"/>
      <c r="AP5" s="246"/>
      <c r="AQ5" s="246"/>
      <c r="AS5" s="232">
        <f t="shared" ref="AS5:AS68" si="1">IF(AS4&lt;$D$14,AS4+1,"")</f>
        <v>1</v>
      </c>
      <c r="AT5" s="278">
        <f>AT4-AU4</f>
        <v>106.38297872340425</v>
      </c>
      <c r="AU5" s="278"/>
      <c r="AV5" s="278">
        <f t="shared" ref="AV5:AV71" si="2">$D$10*AT5</f>
        <v>21.276595744680851</v>
      </c>
      <c r="AW5" s="278">
        <f>AT5</f>
        <v>106.38297872340425</v>
      </c>
      <c r="AX5" s="232">
        <f t="shared" ref="AX5:AX14" si="3">IF(ISNUMBER(AS6),SUM(AU5:AV5),SUM(AU5:AW5))</f>
        <v>21.276595744680851</v>
      </c>
      <c r="AY5" s="279">
        <f t="shared" si="0"/>
        <v>7.1775313980125155E-2</v>
      </c>
      <c r="AZ5" s="232">
        <f t="shared" ref="AZ5:AZ71" si="4">IF(ISNUMBER(AS5),AY5/(1+$D$7)^AS5,0)</f>
        <v>6.9684770854490444E-2</v>
      </c>
      <c r="BA5" s="232">
        <f>SUM(AZ5:AZ114)</f>
        <v>1.2324765079071558</v>
      </c>
      <c r="BB5" s="233">
        <f>SUM(AZ5:AZ23)</f>
        <v>1.028095178240706</v>
      </c>
    </row>
    <row r="6" spans="1:54" ht="15" customHeight="1" x14ac:dyDescent="0.2">
      <c r="A6" s="246"/>
      <c r="B6" s="242"/>
      <c r="C6" s="587" t="s">
        <v>540</v>
      </c>
      <c r="D6" s="587"/>
      <c r="E6" s="271"/>
      <c r="F6" s="350" t="s">
        <v>541</v>
      </c>
      <c r="G6" s="351"/>
      <c r="H6" s="272"/>
      <c r="I6" s="587" t="s">
        <v>567</v>
      </c>
      <c r="J6" s="587"/>
      <c r="K6" s="272"/>
      <c r="L6" s="588" t="s">
        <v>390</v>
      </c>
      <c r="M6" s="588"/>
      <c r="N6" s="243"/>
      <c r="O6" s="238"/>
      <c r="P6" s="246"/>
      <c r="Q6" s="459" t="s">
        <v>412</v>
      </c>
      <c r="R6" s="458">
        <f>(M15*M11)/(1+D7)^10</f>
        <v>0</v>
      </c>
      <c r="S6" s="458">
        <f>R6*(1-1/(1+D7)^G16)/(1-1/(1+D7))</f>
        <v>0</v>
      </c>
      <c r="T6" s="582">
        <f>S6*M8*M9*M14*(W37/V37)*G11</f>
        <v>0</v>
      </c>
      <c r="U6" s="582"/>
      <c r="V6" s="572">
        <v>0</v>
      </c>
      <c r="W6" s="589"/>
      <c r="X6" s="238"/>
      <c r="Y6" s="246"/>
      <c r="Z6" s="360" t="s">
        <v>570</v>
      </c>
      <c r="AA6" s="361"/>
      <c r="AB6" s="362">
        <f>$G$7*$G$8*$G$9*G$18*$J7</f>
        <v>1.3694399999999999E-2</v>
      </c>
      <c r="AC6" s="247"/>
      <c r="AD6" s="590" t="s">
        <v>123</v>
      </c>
      <c r="AE6" s="574">
        <f>G10</f>
        <v>2</v>
      </c>
      <c r="AF6" s="246"/>
      <c r="AG6" s="246"/>
      <c r="AH6" s="246"/>
      <c r="AI6" s="246"/>
      <c r="AJ6" s="246"/>
      <c r="AK6" s="246"/>
      <c r="AL6" s="246"/>
      <c r="AM6" s="246"/>
      <c r="AN6" s="246"/>
      <c r="AO6" s="246"/>
      <c r="AP6" s="246"/>
      <c r="AQ6" s="246"/>
      <c r="AS6" s="232">
        <f t="shared" si="1"/>
        <v>2</v>
      </c>
      <c r="AT6" s="278">
        <f t="shared" ref="AT6:AT72" si="5">IF(ISNUMBER(AS6),AW5,0)</f>
        <v>106.38297872340425</v>
      </c>
      <c r="AU6" s="278"/>
      <c r="AV6" s="278">
        <f t="shared" si="2"/>
        <v>21.276595744680851</v>
      </c>
      <c r="AW6" s="278">
        <f t="shared" ref="AW6:AW72" si="6">AT6</f>
        <v>106.38297872340425</v>
      </c>
      <c r="AX6" s="232">
        <f t="shared" si="3"/>
        <v>21.276595744680851</v>
      </c>
      <c r="AY6" s="279">
        <f t="shared" si="0"/>
        <v>7.1775313980125155E-2</v>
      </c>
      <c r="AZ6" s="232">
        <f t="shared" si="4"/>
        <v>6.7655117334456741E-2</v>
      </c>
      <c r="BA6" s="232"/>
    </row>
    <row r="7" spans="1:54" ht="20.5" customHeight="1" x14ac:dyDescent="0.2">
      <c r="A7" s="246"/>
      <c r="B7" s="576" t="s">
        <v>573</v>
      </c>
      <c r="C7" s="301" t="s">
        <v>528</v>
      </c>
      <c r="D7" s="456">
        <v>0.03</v>
      </c>
      <c r="E7" s="234"/>
      <c r="F7" s="321" t="s">
        <v>532</v>
      </c>
      <c r="G7" s="440">
        <v>0.6</v>
      </c>
      <c r="H7" s="236"/>
      <c r="I7" s="321" t="s">
        <v>536</v>
      </c>
      <c r="J7" s="441">
        <v>0.25359999999999999</v>
      </c>
      <c r="K7" s="314"/>
      <c r="L7" s="321" t="s">
        <v>397</v>
      </c>
      <c r="M7" s="324"/>
      <c r="N7" s="244"/>
      <c r="O7" s="238"/>
      <c r="P7" s="246"/>
      <c r="Q7" s="247"/>
      <c r="R7" s="238"/>
      <c r="S7" s="238"/>
      <c r="T7" s="238"/>
      <c r="U7" s="318"/>
      <c r="V7" s="238"/>
      <c r="W7" s="244"/>
      <c r="X7" s="238"/>
      <c r="Y7" s="246"/>
      <c r="Z7" s="360" t="s">
        <v>560</v>
      </c>
      <c r="AA7" s="361"/>
      <c r="AB7" s="362">
        <f>$G$7*$G$8*$G$9*G$18*$J8</f>
        <v>1.0027332447839583E-2</v>
      </c>
      <c r="AC7" s="247"/>
      <c r="AD7" s="590"/>
      <c r="AE7" s="574"/>
      <c r="AF7" s="246"/>
      <c r="AG7" s="246"/>
      <c r="AH7" s="246"/>
      <c r="AI7" s="246"/>
      <c r="AJ7" s="246"/>
      <c r="AK7" s="246"/>
      <c r="AL7" s="246"/>
      <c r="AM7" s="246"/>
      <c r="AN7" s="246"/>
      <c r="AO7" s="246"/>
      <c r="AP7" s="246"/>
      <c r="AQ7" s="246"/>
      <c r="AS7" s="232">
        <f t="shared" si="1"/>
        <v>3</v>
      </c>
      <c r="AT7" s="278">
        <f>IF(ISNUMBER(AS7),AW6,0)</f>
        <v>106.38297872340425</v>
      </c>
      <c r="AU7" s="278"/>
      <c r="AV7" s="278">
        <f t="shared" si="2"/>
        <v>21.276595744680851</v>
      </c>
      <c r="AW7" s="278">
        <f t="shared" si="6"/>
        <v>106.38297872340425</v>
      </c>
      <c r="AX7" s="232">
        <f t="shared" si="3"/>
        <v>21.276595744680851</v>
      </c>
      <c r="AY7" s="279">
        <f t="shared" si="0"/>
        <v>7.1775313980125155E-2</v>
      </c>
      <c r="AZ7" s="232">
        <f t="shared" si="4"/>
        <v>6.568457993636577E-2</v>
      </c>
      <c r="BA7" s="232"/>
    </row>
    <row r="8" spans="1:54" ht="25" customHeight="1" thickBot="1" x14ac:dyDescent="0.25">
      <c r="A8" s="246"/>
      <c r="B8" s="576"/>
      <c r="C8" s="294"/>
      <c r="D8" s="294"/>
      <c r="E8" s="273"/>
      <c r="F8" s="323" t="s">
        <v>534</v>
      </c>
      <c r="G8" s="445">
        <v>0.4</v>
      </c>
      <c r="H8" s="237"/>
      <c r="I8" s="312" t="s">
        <v>537</v>
      </c>
      <c r="J8" s="442">
        <v>0.18569134162665896</v>
      </c>
      <c r="K8" s="315"/>
      <c r="L8" s="312" t="s">
        <v>391</v>
      </c>
      <c r="M8" s="313"/>
      <c r="N8" s="244"/>
      <c r="O8" s="238"/>
      <c r="P8" s="246"/>
      <c r="Q8" s="577" t="s">
        <v>413</v>
      </c>
      <c r="R8" s="238"/>
      <c r="S8" s="460" t="s">
        <v>246</v>
      </c>
      <c r="T8" s="578" t="s">
        <v>562</v>
      </c>
      <c r="U8" s="578"/>
      <c r="V8" s="578" t="s">
        <v>446</v>
      </c>
      <c r="W8" s="662"/>
      <c r="X8" s="238"/>
      <c r="Y8" s="246"/>
      <c r="Z8" s="360" t="s">
        <v>566</v>
      </c>
      <c r="AA8" s="361"/>
      <c r="AB8" s="362">
        <f>$G$7*$G$8*$G$9*G$18/M18</f>
        <v>2.7E-2</v>
      </c>
      <c r="AC8" s="374"/>
      <c r="AD8" s="375" t="s">
        <v>124</v>
      </c>
      <c r="AE8" s="376">
        <f>(AE6*U37)/S5</f>
        <v>20.348185075292374</v>
      </c>
      <c r="AF8" s="246"/>
      <c r="AG8" s="246"/>
      <c r="AH8" s="246"/>
      <c r="AI8" s="246"/>
      <c r="AJ8" s="246"/>
      <c r="AK8" s="246"/>
      <c r="AL8" s="246"/>
      <c r="AM8" s="246"/>
      <c r="AN8" s="246"/>
      <c r="AO8" s="246"/>
      <c r="AP8" s="246"/>
      <c r="AQ8" s="246"/>
      <c r="AS8" s="232">
        <f t="shared" si="1"/>
        <v>4</v>
      </c>
      <c r="AT8" s="278">
        <f t="shared" si="5"/>
        <v>106.38297872340425</v>
      </c>
      <c r="AU8" s="278"/>
      <c r="AV8" s="278">
        <f t="shared" si="2"/>
        <v>21.276595744680851</v>
      </c>
      <c r="AW8" s="278">
        <f t="shared" si="6"/>
        <v>106.38297872340425</v>
      </c>
      <c r="AX8" s="232">
        <f t="shared" si="3"/>
        <v>21.276595744680851</v>
      </c>
      <c r="AY8" s="279">
        <f t="shared" si="0"/>
        <v>7.1775313980125155E-2</v>
      </c>
      <c r="AZ8" s="232">
        <f t="shared" si="4"/>
        <v>6.3771436831423084E-2</v>
      </c>
      <c r="BA8" s="232"/>
    </row>
    <row r="9" spans="1:54" ht="33" x14ac:dyDescent="0.2">
      <c r="A9" s="246"/>
      <c r="B9" s="576"/>
      <c r="C9" s="581" t="s">
        <v>542</v>
      </c>
      <c r="D9" s="581"/>
      <c r="E9" s="234"/>
      <c r="F9" s="312" t="s">
        <v>440</v>
      </c>
      <c r="G9" s="442">
        <v>0.75</v>
      </c>
      <c r="H9" s="237"/>
      <c r="I9" s="312" t="s">
        <v>386</v>
      </c>
      <c r="J9" s="442">
        <v>1</v>
      </c>
      <c r="K9" s="315"/>
      <c r="L9" s="312" t="s">
        <v>392</v>
      </c>
      <c r="M9" s="313"/>
      <c r="N9" s="244"/>
      <c r="O9" s="238"/>
      <c r="P9" s="246"/>
      <c r="Q9" s="577"/>
      <c r="R9" s="253" t="s">
        <v>572</v>
      </c>
      <c r="S9" s="468">
        <f>J11*($T$5*AB13*J14*J7+$V$5*(J7*$G$13))</f>
        <v>3.2790655049484953E-2</v>
      </c>
      <c r="T9" s="582">
        <f>S9/(J16/J9)</f>
        <v>4.372087339931327E-2</v>
      </c>
      <c r="U9" s="582"/>
      <c r="V9" s="663">
        <f>($G$10*$U$37)/T9</f>
        <v>1670.826640008235</v>
      </c>
      <c r="W9" s="664"/>
      <c r="X9" s="238"/>
      <c r="Y9" s="387"/>
      <c r="Z9" s="585" t="s">
        <v>288</v>
      </c>
      <c r="AA9" s="665"/>
      <c r="AB9" s="411">
        <v>0.05</v>
      </c>
      <c r="AC9" s="246"/>
      <c r="AD9" s="246"/>
      <c r="AE9" s="388"/>
      <c r="AF9" s="246"/>
      <c r="AG9" s="246"/>
      <c r="AH9" s="246"/>
      <c r="AI9" s="246"/>
      <c r="AJ9" s="246"/>
      <c r="AK9" s="246"/>
      <c r="AL9" s="246"/>
      <c r="AM9" s="246"/>
      <c r="AN9" s="246"/>
      <c r="AO9" s="246"/>
      <c r="AP9" s="246"/>
      <c r="AQ9" s="246"/>
      <c r="AS9" s="232">
        <f t="shared" si="1"/>
        <v>5</v>
      </c>
      <c r="AT9" s="278">
        <f t="shared" si="5"/>
        <v>106.38297872340425</v>
      </c>
      <c r="AU9" s="278"/>
      <c r="AV9" s="278">
        <f t="shared" si="2"/>
        <v>21.276595744680851</v>
      </c>
      <c r="AW9" s="278">
        <f t="shared" si="6"/>
        <v>106.38297872340425</v>
      </c>
      <c r="AX9" s="232">
        <f>IF(ISNUMBER(AS10),SUM(AU9:AV9),SUM(AU9:AW9))</f>
        <v>21.276595744680851</v>
      </c>
      <c r="AY9" s="279">
        <f t="shared" si="0"/>
        <v>7.1775313980125155E-2</v>
      </c>
      <c r="AZ9" s="232">
        <f t="shared" si="4"/>
        <v>6.1914016341187456E-2</v>
      </c>
      <c r="BA9" s="232"/>
    </row>
    <row r="10" spans="1:54" ht="39.75" customHeight="1" x14ac:dyDescent="0.2">
      <c r="A10" s="246"/>
      <c r="B10" s="576"/>
      <c r="C10" s="291" t="s">
        <v>531</v>
      </c>
      <c r="D10" s="292">
        <v>0.2</v>
      </c>
      <c r="E10" s="284"/>
      <c r="F10" s="312" t="s">
        <v>231</v>
      </c>
      <c r="G10" s="450">
        <v>2</v>
      </c>
      <c r="H10" s="285"/>
      <c r="I10" s="312" t="s">
        <v>387</v>
      </c>
      <c r="J10" s="442">
        <v>1</v>
      </c>
      <c r="K10" s="315"/>
      <c r="L10" s="312" t="s">
        <v>406</v>
      </c>
      <c r="M10" s="313"/>
      <c r="N10" s="244"/>
      <c r="O10" s="238"/>
      <c r="P10" s="246"/>
      <c r="Q10" s="577"/>
      <c r="R10" s="253" t="s">
        <v>14</v>
      </c>
      <c r="S10" s="468">
        <f>J18*($T$5*AB14*J15*J8+$V$5*(J8*$G$13))</f>
        <v>1.9409427610418476E-2</v>
      </c>
      <c r="T10" s="582">
        <f>S10/(J17/J10)</f>
        <v>2.1394871704605904E-2</v>
      </c>
      <c r="U10" s="582"/>
      <c r="V10" s="663">
        <f>($G$10*$U$37)/T10</f>
        <v>3414.3696213085377</v>
      </c>
      <c r="W10" s="664"/>
      <c r="X10" s="238"/>
      <c r="Y10" s="246"/>
      <c r="Z10" s="592" t="s">
        <v>289</v>
      </c>
      <c r="AA10" s="666"/>
      <c r="AB10" s="377" t="s">
        <v>287</v>
      </c>
      <c r="AC10" s="246"/>
      <c r="AD10" s="387"/>
      <c r="AE10" s="388"/>
      <c r="AF10" s="246"/>
      <c r="AG10" s="246"/>
      <c r="AH10" s="246"/>
      <c r="AI10" s="246"/>
      <c r="AJ10" s="246"/>
      <c r="AK10" s="246"/>
      <c r="AL10" s="246"/>
      <c r="AM10" s="246"/>
      <c r="AN10" s="246"/>
      <c r="AO10" s="246"/>
      <c r="AP10" s="246"/>
      <c r="AQ10" s="246"/>
      <c r="AS10" s="232">
        <f t="shared" si="1"/>
        <v>6</v>
      </c>
      <c r="AT10" s="278">
        <f>IF(ISNUMBER(AS10),AW9,0)</f>
        <v>106.38297872340425</v>
      </c>
      <c r="AU10" s="278"/>
      <c r="AV10" s="278">
        <f t="shared" si="2"/>
        <v>21.276595744680851</v>
      </c>
      <c r="AW10" s="278">
        <f t="shared" si="6"/>
        <v>106.38297872340425</v>
      </c>
      <c r="AX10" s="232">
        <f>IF(ISNUMBER(AS11),SUM(AU10:AV10),SUM(AU10:AW10))</f>
        <v>21.276595744680851</v>
      </c>
      <c r="AY10" s="279">
        <f t="shared" si="0"/>
        <v>7.1775313980125155E-2</v>
      </c>
      <c r="AZ10" s="232">
        <f t="shared" si="4"/>
        <v>6.0110695476881026E-2</v>
      </c>
      <c r="BA10" s="232"/>
    </row>
    <row r="11" spans="1:54" ht="33" customHeight="1" x14ac:dyDescent="0.2">
      <c r="A11" s="246"/>
      <c r="B11" s="576"/>
      <c r="C11" s="298" t="s">
        <v>533</v>
      </c>
      <c r="D11" s="299">
        <v>0.5</v>
      </c>
      <c r="E11" s="235"/>
      <c r="F11" s="312" t="s">
        <v>241</v>
      </c>
      <c r="G11" s="450">
        <v>2</v>
      </c>
      <c r="H11" s="238"/>
      <c r="I11" s="312" t="s">
        <v>230</v>
      </c>
      <c r="J11" s="442">
        <v>0.77</v>
      </c>
      <c r="K11" s="315"/>
      <c r="L11" s="312" t="s">
        <v>405</v>
      </c>
      <c r="M11" s="313"/>
      <c r="N11" s="244"/>
      <c r="O11" s="246"/>
      <c r="P11" s="246"/>
      <c r="Q11" s="577"/>
      <c r="R11" s="253" t="s">
        <v>566</v>
      </c>
      <c r="S11" s="468" t="s">
        <v>120</v>
      </c>
      <c r="T11" s="582">
        <f>(1/S37)*(1/M18)*T5*AB15+(1/R37)*U37*G10</f>
        <v>4.8012446920301419E-2</v>
      </c>
      <c r="U11" s="582">
        <f>(1/S37)*(1/M18)*T5+1/R37*(G10*S5)</f>
        <v>2.4804591576961937E-2</v>
      </c>
      <c r="V11" s="663">
        <f>($G$10*$U$37)/T11</f>
        <v>1521.4804636235235</v>
      </c>
      <c r="W11" s="664"/>
      <c r="X11" s="238"/>
      <c r="Y11" s="246"/>
      <c r="Z11" s="247"/>
      <c r="AA11" s="238"/>
      <c r="AB11" s="244"/>
      <c r="AC11" s="246"/>
      <c r="AD11" s="246"/>
      <c r="AE11" s="246"/>
      <c r="AF11" s="246"/>
      <c r="AG11" s="246"/>
      <c r="AH11" s="246"/>
      <c r="AI11" s="246"/>
      <c r="AJ11" s="246"/>
      <c r="AK11" s="246"/>
      <c r="AL11" s="246"/>
      <c r="AM11" s="246"/>
      <c r="AN11" s="246"/>
      <c r="AO11" s="246"/>
      <c r="AP11" s="246"/>
      <c r="AQ11" s="246"/>
      <c r="AS11" s="232">
        <f t="shared" si="1"/>
        <v>7</v>
      </c>
      <c r="AT11" s="278">
        <f>IF(ISNUMBER(AS11),AW10,0)</f>
        <v>106.38297872340425</v>
      </c>
      <c r="AU11" s="278"/>
      <c r="AV11" s="278">
        <f t="shared" si="2"/>
        <v>21.276595744680851</v>
      </c>
      <c r="AW11" s="278">
        <f t="shared" si="6"/>
        <v>106.38297872340425</v>
      </c>
      <c r="AX11" s="232">
        <f>IF(ISNUMBER(AS12),SUM(AU11:AV11),SUM(AU11:AW11))</f>
        <v>21.276595744680851</v>
      </c>
      <c r="AY11" s="279">
        <f t="shared" si="0"/>
        <v>7.1775313980125155E-2</v>
      </c>
      <c r="AZ11" s="232">
        <f t="shared" si="4"/>
        <v>5.8359898521243708E-2</v>
      </c>
      <c r="BA11" s="232"/>
    </row>
    <row r="12" spans="1:54" ht="22.75" customHeight="1" thickBot="1" x14ac:dyDescent="0.25">
      <c r="A12" s="246"/>
      <c r="B12" s="247"/>
      <c r="C12" s="241"/>
      <c r="D12" s="240"/>
      <c r="E12" s="234"/>
      <c r="F12" s="390"/>
      <c r="G12" s="391"/>
      <c r="H12" s="241"/>
      <c r="I12" s="241"/>
      <c r="J12" s="380"/>
      <c r="K12" s="238"/>
      <c r="L12" s="312" t="s">
        <v>399</v>
      </c>
      <c r="M12" s="313"/>
      <c r="N12" s="244"/>
      <c r="O12" s="238"/>
      <c r="P12" s="246"/>
      <c r="Q12" s="293"/>
      <c r="R12" s="253" t="s">
        <v>396</v>
      </c>
      <c r="S12" s="468">
        <f>T6*M12</f>
        <v>0</v>
      </c>
      <c r="T12" s="667" t="e">
        <f>M13*S12/(M7/M10)</f>
        <v>#DIV/0!</v>
      </c>
      <c r="U12" s="667"/>
      <c r="V12" s="594" t="s">
        <v>120</v>
      </c>
      <c r="W12" s="595"/>
      <c r="X12" s="238"/>
      <c r="Y12" s="246"/>
      <c r="Z12" s="363" t="s">
        <v>286</v>
      </c>
      <c r="AA12" s="358"/>
      <c r="AB12" s="364"/>
      <c r="AC12" s="246"/>
      <c r="AD12" s="246"/>
      <c r="AE12" s="246"/>
      <c r="AF12" s="246"/>
      <c r="AG12" s="246"/>
      <c r="AH12" s="246"/>
      <c r="AI12" s="246"/>
      <c r="AJ12" s="246"/>
      <c r="AK12" s="246"/>
      <c r="AL12" s="246"/>
      <c r="AM12" s="246"/>
      <c r="AN12" s="246"/>
      <c r="AO12" s="246"/>
      <c r="AP12" s="246"/>
      <c r="AQ12" s="246"/>
      <c r="AS12" s="232">
        <f t="shared" si="1"/>
        <v>8</v>
      </c>
      <c r="AT12" s="278">
        <f>IF(ISNUMBER(AS12),AW11,0)</f>
        <v>106.38297872340425</v>
      </c>
      <c r="AU12" s="278"/>
      <c r="AV12" s="278">
        <f t="shared" si="2"/>
        <v>21.276595744680851</v>
      </c>
      <c r="AW12" s="278">
        <f t="shared" si="6"/>
        <v>106.38297872340425</v>
      </c>
      <c r="AX12" s="232">
        <f>IF(ISNUMBER(AS13),SUM(AU12:AV12),SUM(AU12:AW12))</f>
        <v>21.276595744680851</v>
      </c>
      <c r="AY12" s="279">
        <f t="shared" si="0"/>
        <v>7.1775313980125155E-2</v>
      </c>
      <c r="AZ12" s="232">
        <f t="shared" si="4"/>
        <v>5.6660095651692929E-2</v>
      </c>
      <c r="BA12" s="232"/>
    </row>
    <row r="13" spans="1:54" ht="30.75" customHeight="1" x14ac:dyDescent="0.2">
      <c r="A13" s="246"/>
      <c r="B13" s="247"/>
      <c r="C13" s="241"/>
      <c r="D13" s="240"/>
      <c r="E13" s="234"/>
      <c r="F13" s="461" t="s">
        <v>80</v>
      </c>
      <c r="G13" s="451">
        <v>2</v>
      </c>
      <c r="H13" s="238"/>
      <c r="I13" s="241"/>
      <c r="J13" s="380"/>
      <c r="K13" s="238"/>
      <c r="L13" s="312" t="s">
        <v>398</v>
      </c>
      <c r="M13" s="313"/>
      <c r="N13" s="244"/>
      <c r="O13" s="238"/>
      <c r="P13" s="246"/>
      <c r="Q13" s="596" t="s">
        <v>122</v>
      </c>
      <c r="R13" s="457" t="s">
        <v>442</v>
      </c>
      <c r="S13" s="457" t="s">
        <v>563</v>
      </c>
      <c r="T13" s="569" t="s">
        <v>564</v>
      </c>
      <c r="U13" s="569"/>
      <c r="V13" s="569" t="s">
        <v>562</v>
      </c>
      <c r="W13" s="570"/>
      <c r="X13" s="238"/>
      <c r="Y13" s="246"/>
      <c r="Z13" s="360" t="s">
        <v>570</v>
      </c>
      <c r="AA13" s="361"/>
      <c r="AB13" s="365">
        <f>IF($AB$10="Yes",MAX(AB6,$AB$9),AB6)/AB6</f>
        <v>1</v>
      </c>
      <c r="AC13" s="246"/>
      <c r="AD13" s="246"/>
      <c r="AE13" s="246"/>
      <c r="AF13" s="246"/>
      <c r="AG13" s="246"/>
      <c r="AH13" s="246"/>
      <c r="AI13" s="246"/>
      <c r="AJ13" s="246"/>
      <c r="AK13" s="246"/>
      <c r="AL13" s="246"/>
      <c r="AM13" s="246"/>
      <c r="AN13" s="246"/>
      <c r="AO13" s="246"/>
      <c r="AP13" s="246"/>
      <c r="AQ13" s="246"/>
      <c r="AS13" s="232">
        <f t="shared" si="1"/>
        <v>9</v>
      </c>
      <c r="AT13" s="278">
        <f>IF(ISNUMBER(AS13),AW12,0)</f>
        <v>106.38297872340425</v>
      </c>
      <c r="AU13" s="278"/>
      <c r="AV13" s="278">
        <f t="shared" si="2"/>
        <v>21.276595744680851</v>
      </c>
      <c r="AW13" s="278">
        <f t="shared" si="6"/>
        <v>106.38297872340425</v>
      </c>
      <c r="AX13" s="232">
        <f t="shared" si="3"/>
        <v>21.276595744680851</v>
      </c>
      <c r="AY13" s="279">
        <f t="shared" si="0"/>
        <v>7.1775313980125155E-2</v>
      </c>
      <c r="AZ13" s="232">
        <f t="shared" si="4"/>
        <v>5.5009801603585366E-2</v>
      </c>
      <c r="BA13" s="232"/>
    </row>
    <row r="14" spans="1:54" ht="21" customHeight="1" thickBot="1" x14ac:dyDescent="0.25">
      <c r="A14" s="246"/>
      <c r="B14" s="597" t="s">
        <v>366</v>
      </c>
      <c r="C14" s="598" t="s">
        <v>529</v>
      </c>
      <c r="D14" s="600">
        <v>20</v>
      </c>
      <c r="E14" s="235"/>
      <c r="F14" s="606" t="s">
        <v>530</v>
      </c>
      <c r="G14" s="683">
        <v>1.7608179999999999E-3</v>
      </c>
      <c r="H14" s="238"/>
      <c r="I14" s="300" t="s">
        <v>539</v>
      </c>
      <c r="J14" s="452">
        <v>1</v>
      </c>
      <c r="K14" s="316"/>
      <c r="L14" s="312" t="s">
        <v>400</v>
      </c>
      <c r="M14" s="313"/>
      <c r="N14" s="244"/>
      <c r="O14" s="238"/>
      <c r="P14" s="246"/>
      <c r="Q14" s="668"/>
      <c r="R14" s="462">
        <f>BA5</f>
        <v>1.2324765079071558</v>
      </c>
      <c r="S14" s="462">
        <f>AZ4</f>
        <v>0.31632022465180309</v>
      </c>
      <c r="T14" s="670">
        <f>R14+S14</f>
        <v>1.5487967325589589</v>
      </c>
      <c r="U14" s="670"/>
      <c r="V14" s="667">
        <f>T14/(Rebecca!Q37/Rebecca!D16)</f>
        <v>6.1510462233579054E-3</v>
      </c>
      <c r="W14" s="671"/>
      <c r="X14" s="238"/>
      <c r="Y14" s="387"/>
      <c r="Z14" s="360" t="s">
        <v>560</v>
      </c>
      <c r="AA14" s="361"/>
      <c r="AB14" s="365">
        <f>IF($AB$10="Yes",MAX(AB7,$AB$9),AB7)/AB7</f>
        <v>1</v>
      </c>
      <c r="AC14" s="246"/>
      <c r="AD14" s="246"/>
      <c r="AE14" s="246"/>
      <c r="AF14" s="246"/>
      <c r="AG14" s="246"/>
      <c r="AH14" s="246"/>
      <c r="AI14" s="246"/>
      <c r="AJ14" s="246"/>
      <c r="AK14" s="246"/>
      <c r="AL14" s="246"/>
      <c r="AM14" s="246"/>
      <c r="AN14" s="246"/>
      <c r="AO14" s="246"/>
      <c r="AP14" s="246"/>
      <c r="AQ14" s="246"/>
      <c r="AS14" s="232">
        <f t="shared" si="1"/>
        <v>10</v>
      </c>
      <c r="AT14" s="278">
        <f t="shared" si="5"/>
        <v>106.38297872340425</v>
      </c>
      <c r="AU14" s="278"/>
      <c r="AV14" s="278">
        <f t="shared" si="2"/>
        <v>21.276595744680851</v>
      </c>
      <c r="AW14" s="278">
        <f t="shared" si="6"/>
        <v>106.38297872340425</v>
      </c>
      <c r="AX14" s="232">
        <f t="shared" si="3"/>
        <v>21.276595744680851</v>
      </c>
      <c r="AY14" s="279">
        <f t="shared" si="0"/>
        <v>7.1775313980125155E-2</v>
      </c>
      <c r="AZ14" s="232">
        <f t="shared" si="4"/>
        <v>5.3407574372412975E-2</v>
      </c>
      <c r="BA14" s="232"/>
    </row>
    <row r="15" spans="1:54" ht="21" customHeight="1" thickBot="1" x14ac:dyDescent="0.25">
      <c r="A15" s="246"/>
      <c r="B15" s="597"/>
      <c r="C15" s="599"/>
      <c r="D15" s="601"/>
      <c r="E15" s="235"/>
      <c r="F15" s="599"/>
      <c r="G15" s="682"/>
      <c r="H15" s="238"/>
      <c r="I15" s="300" t="s">
        <v>538</v>
      </c>
      <c r="J15" s="453">
        <v>0.8</v>
      </c>
      <c r="K15" s="316"/>
      <c r="L15" s="322" t="s">
        <v>403</v>
      </c>
      <c r="M15" s="337"/>
      <c r="N15" s="244"/>
      <c r="O15" s="238"/>
      <c r="P15" s="246"/>
      <c r="Q15" s="463" t="s">
        <v>129</v>
      </c>
      <c r="R15" s="415"/>
      <c r="S15" s="465" t="s">
        <v>561</v>
      </c>
      <c r="T15" s="672" t="s">
        <v>560</v>
      </c>
      <c r="U15" s="672"/>
      <c r="V15" s="465" t="s">
        <v>566</v>
      </c>
      <c r="W15" s="430" t="s">
        <v>576</v>
      </c>
      <c r="X15" s="238"/>
      <c r="Y15" s="387"/>
      <c r="Z15" s="366" t="s">
        <v>566</v>
      </c>
      <c r="AA15" s="367"/>
      <c r="AB15" s="368">
        <f>IF($AB$10="Yes",MAX(AB8,$AB$9),AB8)/AB8</f>
        <v>1</v>
      </c>
      <c r="AC15" s="246"/>
      <c r="AD15" s="246"/>
      <c r="AE15" s="246"/>
      <c r="AF15" s="246"/>
      <c r="AG15" s="246"/>
      <c r="AH15" s="246"/>
      <c r="AI15" s="246"/>
      <c r="AJ15" s="246"/>
      <c r="AK15" s="246"/>
      <c r="AL15" s="246"/>
      <c r="AM15" s="246"/>
      <c r="AN15" s="246"/>
      <c r="AO15" s="246"/>
      <c r="AP15" s="246"/>
      <c r="AQ15" s="246"/>
      <c r="AS15" s="232">
        <f t="shared" si="1"/>
        <v>11</v>
      </c>
      <c r="AT15" s="278">
        <f t="shared" si="5"/>
        <v>106.38297872340425</v>
      </c>
      <c r="AU15" s="278"/>
      <c r="AV15" s="278">
        <f t="shared" si="2"/>
        <v>21.276595744680851</v>
      </c>
      <c r="AW15" s="278">
        <f t="shared" si="6"/>
        <v>106.38297872340425</v>
      </c>
      <c r="AX15" s="232">
        <f>IF(ISNUMBER(AS16),SUM(AU15:AV15),SUM(AU15:AW15))</f>
        <v>21.276595744680851</v>
      </c>
      <c r="AY15" s="279">
        <f t="shared" si="0"/>
        <v>7.1775313980125155E-2</v>
      </c>
      <c r="AZ15" s="232">
        <f t="shared" si="4"/>
        <v>5.1852013953799007E-2</v>
      </c>
      <c r="BA15" s="232"/>
    </row>
    <row r="16" spans="1:54" ht="21" customHeight="1" x14ac:dyDescent="0.2">
      <c r="A16" s="246"/>
      <c r="B16" s="597"/>
      <c r="C16" s="606" t="s">
        <v>547</v>
      </c>
      <c r="D16" s="608">
        <v>0.84499999999999997</v>
      </c>
      <c r="E16" s="235"/>
      <c r="F16" s="606" t="s">
        <v>345</v>
      </c>
      <c r="G16" s="684">
        <v>25</v>
      </c>
      <c r="H16" s="238"/>
      <c r="I16" s="296" t="s">
        <v>556</v>
      </c>
      <c r="J16" s="454">
        <v>0.75</v>
      </c>
      <c r="K16" s="317"/>
      <c r="L16" s="238"/>
      <c r="M16" s="238"/>
      <c r="N16" s="244"/>
      <c r="O16" s="238"/>
      <c r="P16" s="246"/>
      <c r="Q16" s="459"/>
      <c r="R16" s="413" t="s">
        <v>126</v>
      </c>
      <c r="S16" s="490">
        <f>$T9/$T$9</f>
        <v>1</v>
      </c>
      <c r="T16" s="612">
        <f>$T9/$T$10</f>
        <v>2.0435211766145347</v>
      </c>
      <c r="U16" s="673"/>
      <c r="V16" s="490">
        <f>$T9/$T$11</f>
        <v>0.91061539670927472</v>
      </c>
      <c r="W16" s="491">
        <f>$T9/$V$14</f>
        <v>7.1078759306487047</v>
      </c>
      <c r="X16" s="238"/>
      <c r="Y16" s="387"/>
      <c r="Z16" s="246"/>
      <c r="AA16" s="246"/>
      <c r="AB16" s="246"/>
      <c r="AC16" s="246"/>
      <c r="AD16" s="246"/>
      <c r="AE16" s="246"/>
      <c r="AF16" s="246"/>
      <c r="AG16" s="246"/>
      <c r="AH16" s="246"/>
      <c r="AI16" s="246"/>
      <c r="AJ16" s="246"/>
      <c r="AK16" s="246"/>
      <c r="AL16" s="246"/>
      <c r="AM16" s="246"/>
      <c r="AN16" s="246"/>
      <c r="AO16" s="246"/>
      <c r="AP16" s="246"/>
      <c r="AQ16" s="246"/>
      <c r="AS16" s="232">
        <f t="shared" si="1"/>
        <v>12</v>
      </c>
      <c r="AT16" s="278">
        <f t="shared" si="5"/>
        <v>106.38297872340425</v>
      </c>
      <c r="AU16" s="278"/>
      <c r="AV16" s="278">
        <f t="shared" si="2"/>
        <v>21.276595744680851</v>
      </c>
      <c r="AW16" s="278">
        <f t="shared" si="6"/>
        <v>106.38297872340425</v>
      </c>
      <c r="AX16" s="232">
        <f t="shared" ref="AX16:AX81" si="7">IF(ISNUMBER(AS17),SUM(AU16:AV16),SUM(AU16:AW16))</f>
        <v>21.276595744680851</v>
      </c>
      <c r="AY16" s="279">
        <f t="shared" si="0"/>
        <v>7.1775313980125155E-2</v>
      </c>
      <c r="AZ16" s="232">
        <f t="shared" si="4"/>
        <v>5.0341761120193215E-2</v>
      </c>
      <c r="BA16" s="232"/>
    </row>
    <row r="17" spans="1:54" ht="31.75" customHeight="1" x14ac:dyDescent="0.2">
      <c r="A17" s="246"/>
      <c r="B17" s="597"/>
      <c r="C17" s="607"/>
      <c r="D17" s="609"/>
      <c r="E17" s="235"/>
      <c r="F17" s="599"/>
      <c r="G17" s="685"/>
      <c r="H17" s="238"/>
      <c r="I17" s="297" t="s">
        <v>535</v>
      </c>
      <c r="J17" s="455">
        <v>0.90720000000000001</v>
      </c>
      <c r="K17" s="317"/>
      <c r="L17" s="674" t="s">
        <v>566</v>
      </c>
      <c r="M17" s="674"/>
      <c r="N17" s="244"/>
      <c r="O17" s="238"/>
      <c r="P17" s="246"/>
      <c r="Q17" s="459"/>
      <c r="R17" s="413" t="s">
        <v>127</v>
      </c>
      <c r="S17" s="490">
        <f>$T10/$T$9</f>
        <v>0.48935142510080681</v>
      </c>
      <c r="T17" s="612">
        <f>$T10/$T$10</f>
        <v>1</v>
      </c>
      <c r="U17" s="673"/>
      <c r="V17" s="490">
        <f>$T10/$T$11</f>
        <v>0.44561094209842012</v>
      </c>
      <c r="W17" s="491">
        <f>$T10/$V$14</f>
        <v>3.4782492161026668</v>
      </c>
      <c r="X17" s="238"/>
      <c r="Y17" s="387"/>
      <c r="Z17" s="246"/>
      <c r="AA17" s="246"/>
      <c r="AB17" s="246"/>
      <c r="AC17" s="246"/>
      <c r="AD17" s="246"/>
      <c r="AE17" s="246"/>
      <c r="AF17" s="246"/>
      <c r="AG17" s="246"/>
      <c r="AH17" s="246"/>
      <c r="AI17" s="246"/>
      <c r="AJ17" s="246"/>
      <c r="AK17" s="246"/>
      <c r="AL17" s="246"/>
      <c r="AM17" s="246"/>
      <c r="AN17" s="246"/>
      <c r="AO17" s="246"/>
      <c r="AP17" s="246"/>
      <c r="AQ17" s="246"/>
      <c r="AS17" s="232">
        <f>IF(AS16&lt;$D$14,AS16+1,"")</f>
        <v>13</v>
      </c>
      <c r="AT17" s="278">
        <f>IF(ISNUMBER(AS17),AW16,0)</f>
        <v>106.38297872340425</v>
      </c>
      <c r="AU17" s="278"/>
      <c r="AV17" s="278">
        <f t="shared" si="2"/>
        <v>21.276595744680851</v>
      </c>
      <c r="AW17" s="278">
        <f t="shared" si="6"/>
        <v>106.38297872340425</v>
      </c>
      <c r="AX17" s="232">
        <f>IF(ISNUMBER(AS18),SUM(AU17:AV17),SUM(AU17:AW17))</f>
        <v>21.276595744680851</v>
      </c>
      <c r="AY17" s="279">
        <f t="shared" si="0"/>
        <v>7.1775313980125155E-2</v>
      </c>
      <c r="AZ17" s="232">
        <f t="shared" si="4"/>
        <v>4.8875496233197299E-2</v>
      </c>
      <c r="BA17" s="232"/>
    </row>
    <row r="18" spans="1:54" ht="30.75" customHeight="1" x14ac:dyDescent="0.2">
      <c r="A18" s="246"/>
      <c r="B18" s="597"/>
      <c r="C18" s="238"/>
      <c r="D18" s="238"/>
      <c r="E18" s="235"/>
      <c r="F18" s="310" t="s">
        <v>372</v>
      </c>
      <c r="G18" s="443">
        <v>0.3</v>
      </c>
      <c r="H18" s="238"/>
      <c r="I18" s="307" t="s">
        <v>229</v>
      </c>
      <c r="J18" s="446">
        <v>0.77</v>
      </c>
      <c r="K18" s="316"/>
      <c r="L18" s="312" t="s">
        <v>78</v>
      </c>
      <c r="M18" s="442">
        <v>2</v>
      </c>
      <c r="N18" s="244"/>
      <c r="O18" s="238"/>
      <c r="P18" s="238"/>
      <c r="Q18" s="459"/>
      <c r="R18" s="413" t="s">
        <v>128</v>
      </c>
      <c r="S18" s="490">
        <f>$T11/$T$9</f>
        <v>1.0981584581303345</v>
      </c>
      <c r="T18" s="612">
        <f>$T11/$T$10</f>
        <v>2.2441100644677041</v>
      </c>
      <c r="U18" s="673"/>
      <c r="V18" s="490">
        <f>$T11/$T$11</f>
        <v>1</v>
      </c>
      <c r="W18" s="491">
        <f>$T11/$V$14</f>
        <v>7.8055740725828979</v>
      </c>
      <c r="X18" s="238"/>
      <c r="Y18" s="246"/>
      <c r="Z18" s="246"/>
      <c r="AA18" s="246"/>
      <c r="AB18" s="246"/>
      <c r="AC18" s="246"/>
      <c r="AD18" s="246"/>
      <c r="AE18" s="246"/>
      <c r="AF18" s="246"/>
      <c r="AG18" s="246"/>
      <c r="AH18" s="246"/>
      <c r="AI18" s="246"/>
      <c r="AJ18" s="246"/>
      <c r="AK18" s="246"/>
      <c r="AL18" s="246"/>
      <c r="AM18" s="246"/>
      <c r="AN18" s="246"/>
      <c r="AO18" s="246"/>
      <c r="AP18" s="246"/>
      <c r="AQ18" s="246"/>
      <c r="AS18" s="232">
        <f>IF(AS17&lt;$D$14,AS17+1,"")</f>
        <v>14</v>
      </c>
      <c r="AT18" s="278">
        <f>IF(ISNUMBER(AS18),AW17,0)</f>
        <v>106.38297872340425</v>
      </c>
      <c r="AU18" s="278"/>
      <c r="AV18" s="278">
        <f t="shared" si="2"/>
        <v>21.276595744680851</v>
      </c>
      <c r="AW18" s="278">
        <f t="shared" si="6"/>
        <v>106.38297872340425</v>
      </c>
      <c r="AX18" s="232">
        <f>IF(ISNUMBER(AS19),SUM(AU18:AV18),SUM(AU18:AW18))</f>
        <v>21.276595744680851</v>
      </c>
      <c r="AY18" s="279">
        <f t="shared" si="0"/>
        <v>7.1775313980125155E-2</v>
      </c>
      <c r="AZ18" s="232">
        <f t="shared" si="4"/>
        <v>4.7451938090482808E-2</v>
      </c>
      <c r="BA18" s="232"/>
    </row>
    <row r="19" spans="1:54" ht="21" customHeight="1" thickBot="1" x14ac:dyDescent="0.25">
      <c r="A19" s="246"/>
      <c r="B19" s="302"/>
      <c r="C19" s="239"/>
      <c r="D19" s="239"/>
      <c r="E19" s="239"/>
      <c r="F19" s="303"/>
      <c r="G19" s="304"/>
      <c r="H19" s="239"/>
      <c r="I19" s="239"/>
      <c r="J19" s="239"/>
      <c r="K19" s="239"/>
      <c r="L19" s="319"/>
      <c r="M19" s="239"/>
      <c r="N19" s="305"/>
      <c r="O19" s="238"/>
      <c r="P19" s="246"/>
      <c r="Q19" s="469"/>
      <c r="R19" s="414" t="s">
        <v>130</v>
      </c>
      <c r="S19" s="492">
        <f>$V14/$T$9</f>
        <v>0.14068900607677523</v>
      </c>
      <c r="T19" s="615">
        <f>$V14/$T$10</f>
        <v>0.28750096323474111</v>
      </c>
      <c r="U19" s="675"/>
      <c r="V19" s="492">
        <f>$V14/$T$11</f>
        <v>0.12811357508123625</v>
      </c>
      <c r="W19" s="493">
        <f>$V14/$V$14</f>
        <v>1</v>
      </c>
      <c r="X19" s="238"/>
      <c r="Y19" s="246"/>
      <c r="Z19" s="246"/>
      <c r="AA19" s="246"/>
      <c r="AB19" s="246"/>
      <c r="AC19" s="246"/>
      <c r="AD19" s="246"/>
      <c r="AE19" s="246"/>
      <c r="AF19" s="246"/>
      <c r="AG19" s="246"/>
      <c r="AH19" s="246"/>
      <c r="AI19" s="246"/>
      <c r="AJ19" s="246"/>
      <c r="AK19" s="246"/>
      <c r="AL19" s="246"/>
      <c r="AM19" s="246"/>
      <c r="AN19" s="246"/>
      <c r="AO19" s="246"/>
      <c r="AP19" s="246"/>
      <c r="AQ19" s="246"/>
      <c r="AS19" s="232">
        <f>IF(AS18&lt;$D$14,AS18+1,"")</f>
        <v>15</v>
      </c>
      <c r="AT19" s="278">
        <f>IF(ISNUMBER(AS19),AW18,0)</f>
        <v>106.38297872340425</v>
      </c>
      <c r="AU19" s="278"/>
      <c r="AV19" s="278">
        <f t="shared" si="2"/>
        <v>21.276595744680851</v>
      </c>
      <c r="AW19" s="278">
        <f t="shared" si="6"/>
        <v>106.38297872340425</v>
      </c>
      <c r="AX19" s="232">
        <f t="shared" si="7"/>
        <v>21.276595744680851</v>
      </c>
      <c r="AY19" s="279">
        <f t="shared" si="0"/>
        <v>7.1775313980125155E-2</v>
      </c>
      <c r="AZ19" s="232">
        <f t="shared" si="4"/>
        <v>4.606984280629399E-2</v>
      </c>
      <c r="BA19" s="232"/>
    </row>
    <row r="20" spans="1:54" ht="9.75" customHeight="1" thickBot="1" x14ac:dyDescent="0.25">
      <c r="A20" s="246"/>
      <c r="B20" s="246"/>
      <c r="C20" s="246"/>
      <c r="D20" s="246"/>
      <c r="E20" s="246"/>
      <c r="F20" s="246"/>
      <c r="G20" s="246"/>
      <c r="H20" s="246"/>
      <c r="I20" s="246"/>
      <c r="J20" s="246"/>
      <c r="K20" s="246"/>
      <c r="L20" s="246"/>
      <c r="M20" s="246"/>
      <c r="N20" s="246"/>
      <c r="O20" s="246"/>
      <c r="P20" s="246"/>
      <c r="Q20" s="238"/>
      <c r="R20" s="238"/>
      <c r="S20" s="238"/>
      <c r="T20" s="238"/>
      <c r="U20" s="238"/>
      <c r="V20" s="238"/>
      <c r="W20" s="238"/>
      <c r="Y20" s="246"/>
      <c r="Z20" s="246"/>
      <c r="AA20" s="246"/>
      <c r="AB20" s="246"/>
      <c r="AC20" s="246"/>
      <c r="AD20" s="246"/>
      <c r="AE20" s="246"/>
      <c r="AF20" s="246"/>
      <c r="AG20" s="246"/>
      <c r="AH20" s="246"/>
      <c r="AI20" s="246"/>
      <c r="AJ20" s="246"/>
      <c r="AK20" s="246"/>
      <c r="AL20" s="246"/>
      <c r="AM20" s="246"/>
      <c r="AN20" s="246"/>
      <c r="AO20" s="246"/>
      <c r="AP20" s="246"/>
      <c r="AQ20" s="246"/>
      <c r="AS20" s="232">
        <f t="shared" si="1"/>
        <v>16</v>
      </c>
      <c r="AT20" s="278">
        <f t="shared" si="5"/>
        <v>106.38297872340425</v>
      </c>
      <c r="AU20" s="278"/>
      <c r="AV20" s="278">
        <f t="shared" si="2"/>
        <v>21.276595744680851</v>
      </c>
      <c r="AW20" s="278">
        <f t="shared" si="6"/>
        <v>106.38297872340425</v>
      </c>
      <c r="AX20" s="232">
        <f>IF(ISNUMBER(AS21),SUM(AU20:AV20),SUM(AU20:AW20))</f>
        <v>21.276595744680851</v>
      </c>
      <c r="AY20" s="279">
        <f t="shared" si="0"/>
        <v>7.1775313980125155E-2</v>
      </c>
      <c r="AZ20" s="232">
        <f t="shared" si="4"/>
        <v>4.4728002724557278E-2</v>
      </c>
      <c r="BA20" s="232"/>
    </row>
    <row r="21" spans="1:54" ht="10.5" customHeight="1" x14ac:dyDescent="0.2">
      <c r="A21" s="246"/>
      <c r="B21" s="246"/>
      <c r="C21" s="246"/>
      <c r="D21" s="246"/>
      <c r="E21" s="238"/>
      <c r="F21" s="617" t="s">
        <v>562</v>
      </c>
      <c r="G21" s="257" t="s">
        <v>561</v>
      </c>
      <c r="H21" s="258"/>
      <c r="I21" s="487">
        <f>T9</f>
        <v>4.372087339931327E-2</v>
      </c>
      <c r="J21" s="259"/>
      <c r="K21" s="260"/>
      <c r="L21" s="263"/>
      <c r="M21" s="263"/>
      <c r="N21" s="263"/>
      <c r="O21" s="263"/>
      <c r="P21" s="238"/>
      <c r="Q21" s="676" t="s">
        <v>285</v>
      </c>
      <c r="R21" s="621" t="s">
        <v>243</v>
      </c>
      <c r="S21" s="622"/>
      <c r="T21" s="355"/>
      <c r="U21" s="625" t="s">
        <v>281</v>
      </c>
      <c r="V21" s="625"/>
      <c r="W21" s="626"/>
      <c r="Y21" s="246"/>
      <c r="Z21" s="246"/>
      <c r="AA21" s="246"/>
      <c r="AB21" s="246"/>
      <c r="AC21" s="246"/>
      <c r="AD21" s="246"/>
      <c r="AE21" s="246"/>
      <c r="AF21" s="246"/>
      <c r="AG21" s="246"/>
      <c r="AH21" s="246"/>
      <c r="AI21" s="246"/>
      <c r="AJ21" s="246"/>
      <c r="AK21" s="246"/>
      <c r="AL21" s="246"/>
      <c r="AM21" s="246"/>
      <c r="AN21" s="246"/>
      <c r="AO21" s="246"/>
      <c r="AP21" s="246"/>
      <c r="AQ21" s="246"/>
      <c r="AS21" s="232">
        <f>IF(AS20&lt;$D$14,AS20+1,"")</f>
        <v>17</v>
      </c>
      <c r="AT21" s="278">
        <f>IF(ISNUMBER(AS21),AW20,0)</f>
        <v>106.38297872340425</v>
      </c>
      <c r="AU21" s="278"/>
      <c r="AV21" s="278">
        <f t="shared" si="2"/>
        <v>21.276595744680851</v>
      </c>
      <c r="AW21" s="278">
        <f t="shared" si="6"/>
        <v>106.38297872340425</v>
      </c>
      <c r="AX21" s="232">
        <f t="shared" si="7"/>
        <v>21.276595744680851</v>
      </c>
      <c r="AY21" s="279">
        <f t="shared" si="0"/>
        <v>7.1775313980125155E-2</v>
      </c>
      <c r="AZ21" s="232">
        <f t="shared" si="4"/>
        <v>4.3425245363647842E-2</v>
      </c>
      <c r="BA21" s="232"/>
    </row>
    <row r="22" spans="1:54" ht="12" customHeight="1" thickBot="1" x14ac:dyDescent="0.25">
      <c r="A22" s="246"/>
      <c r="B22" s="246"/>
      <c r="C22" s="246"/>
      <c r="D22" s="246"/>
      <c r="E22" s="238"/>
      <c r="F22" s="618"/>
      <c r="G22" s="261" t="s">
        <v>560</v>
      </c>
      <c r="H22" s="262"/>
      <c r="I22" s="488">
        <f>T10</f>
        <v>2.1394871704605904E-2</v>
      </c>
      <c r="J22" s="263"/>
      <c r="K22" s="264"/>
      <c r="L22" s="263"/>
      <c r="M22" s="263"/>
      <c r="N22" s="263"/>
      <c r="O22" s="263"/>
      <c r="P22" s="238"/>
      <c r="Q22" s="677"/>
      <c r="R22" s="623"/>
      <c r="S22" s="624"/>
      <c r="T22" s="356"/>
      <c r="U22" s="627"/>
      <c r="V22" s="627"/>
      <c r="W22" s="628"/>
      <c r="Y22" s="246"/>
      <c r="Z22" s="246"/>
      <c r="AA22" s="246"/>
      <c r="AB22" s="246"/>
      <c r="AC22" s="246"/>
      <c r="AD22" s="246"/>
      <c r="AE22" s="246"/>
      <c r="AF22" s="246"/>
      <c r="AG22" s="246"/>
      <c r="AH22" s="246"/>
      <c r="AI22" s="246"/>
      <c r="AJ22" s="246"/>
      <c r="AK22" s="246"/>
      <c r="AL22" s="246"/>
      <c r="AM22" s="246"/>
      <c r="AN22" s="246"/>
      <c r="AO22" s="246"/>
      <c r="AP22" s="246"/>
      <c r="AQ22" s="246"/>
      <c r="AS22" s="232">
        <f t="shared" si="1"/>
        <v>18</v>
      </c>
      <c r="AT22" s="278">
        <f t="shared" si="5"/>
        <v>106.38297872340425</v>
      </c>
      <c r="AU22" s="278"/>
      <c r="AV22" s="278">
        <f t="shared" si="2"/>
        <v>21.276595744680851</v>
      </c>
      <c r="AW22" s="278">
        <f t="shared" si="6"/>
        <v>106.38297872340425</v>
      </c>
      <c r="AX22" s="232">
        <f t="shared" si="7"/>
        <v>21.276595744680851</v>
      </c>
      <c r="AY22" s="279">
        <f t="shared" si="0"/>
        <v>7.1775313980125155E-2</v>
      </c>
      <c r="AZ22" s="232">
        <f t="shared" si="4"/>
        <v>4.2160432391891108E-2</v>
      </c>
      <c r="BA22" s="232"/>
    </row>
    <row r="23" spans="1:54" ht="10.75" customHeight="1" x14ac:dyDescent="0.2">
      <c r="A23" s="246"/>
      <c r="B23" s="565" t="s">
        <v>410</v>
      </c>
      <c r="C23" s="637"/>
      <c r="D23" s="637"/>
      <c r="E23" s="566"/>
      <c r="F23" s="618"/>
      <c r="G23" s="261" t="s">
        <v>390</v>
      </c>
      <c r="H23" s="262"/>
      <c r="I23" s="488" t="e">
        <f>T12</f>
        <v>#DIV/0!</v>
      </c>
      <c r="J23" s="263"/>
      <c r="K23" s="264"/>
      <c r="L23" s="263"/>
      <c r="M23" s="263"/>
      <c r="N23" s="263"/>
      <c r="O23" s="263"/>
      <c r="P23" s="238"/>
      <c r="Q23" s="677"/>
      <c r="R23" s="347" t="s">
        <v>566</v>
      </c>
      <c r="S23" s="494">
        <f>(R37/S37)*T5</f>
        <v>126.44390880421494</v>
      </c>
      <c r="T23" s="495"/>
      <c r="U23" s="496"/>
      <c r="V23" s="496"/>
      <c r="W23" s="497"/>
      <c r="Y23" s="246"/>
      <c r="Z23" s="246"/>
      <c r="AA23" s="246"/>
      <c r="AB23" s="246"/>
      <c r="AC23" s="246"/>
      <c r="AD23" s="246"/>
      <c r="AE23" s="246"/>
      <c r="AF23" s="246"/>
      <c r="AG23" s="246"/>
      <c r="AH23" s="246"/>
      <c r="AI23" s="246"/>
      <c r="AJ23" s="246"/>
      <c r="AK23" s="246"/>
      <c r="AL23" s="246"/>
      <c r="AM23" s="246"/>
      <c r="AN23" s="246"/>
      <c r="AO23" s="246"/>
      <c r="AP23" s="246"/>
      <c r="AQ23" s="246"/>
      <c r="AS23" s="232">
        <f t="shared" si="1"/>
        <v>19</v>
      </c>
      <c r="AT23" s="278">
        <f t="shared" si="5"/>
        <v>106.38297872340425</v>
      </c>
      <c r="AU23" s="278"/>
      <c r="AV23" s="278">
        <f t="shared" si="2"/>
        <v>21.276595744680851</v>
      </c>
      <c r="AW23" s="278">
        <f t="shared" si="6"/>
        <v>106.38297872340425</v>
      </c>
      <c r="AX23" s="232">
        <f t="shared" si="7"/>
        <v>21.276595744680851</v>
      </c>
      <c r="AY23" s="279">
        <f t="shared" si="0"/>
        <v>7.1775313980125155E-2</v>
      </c>
      <c r="AZ23" s="232">
        <f t="shared" si="4"/>
        <v>4.0932458632903991E-2</v>
      </c>
      <c r="BA23" s="232"/>
    </row>
    <row r="24" spans="1:54" ht="12.75" customHeight="1" x14ac:dyDescent="0.2">
      <c r="A24" s="246"/>
      <c r="B24" s="638"/>
      <c r="C24" s="639"/>
      <c r="D24" s="639"/>
      <c r="E24" s="679"/>
      <c r="F24" s="618"/>
      <c r="G24" s="261" t="s">
        <v>542</v>
      </c>
      <c r="H24" s="262"/>
      <c r="I24" s="488">
        <f>V14</f>
        <v>6.1510462233579054E-3</v>
      </c>
      <c r="J24" s="263"/>
      <c r="K24" s="264"/>
      <c r="L24" s="263"/>
      <c r="M24" s="263"/>
      <c r="N24" s="263"/>
      <c r="O24" s="263"/>
      <c r="P24" s="238"/>
      <c r="Q24" s="677"/>
      <c r="R24" s="347" t="s">
        <v>570</v>
      </c>
      <c r="S24" s="494">
        <f>T9*$R$37</f>
        <v>124.0913398182233</v>
      </c>
      <c r="T24" s="495"/>
      <c r="U24" s="496" t="s">
        <v>570</v>
      </c>
      <c r="V24" s="496"/>
      <c r="W24" s="497">
        <f>S24/S$23</f>
        <v>0.98139436681260506</v>
      </c>
      <c r="Y24" s="246"/>
      <c r="Z24" s="246"/>
      <c r="AA24" s="246"/>
      <c r="AB24" s="246"/>
      <c r="AC24" s="246"/>
      <c r="AD24" s="246"/>
      <c r="AE24" s="246"/>
      <c r="AF24" s="246"/>
      <c r="AG24" s="246"/>
      <c r="AH24" s="246"/>
      <c r="AI24" s="246"/>
      <c r="AJ24" s="246"/>
      <c r="AK24" s="246"/>
      <c r="AL24" s="246"/>
      <c r="AM24" s="246"/>
      <c r="AN24" s="246"/>
      <c r="AO24" s="246"/>
      <c r="AP24" s="246"/>
      <c r="AQ24" s="246"/>
      <c r="AS24" s="232">
        <f t="shared" si="1"/>
        <v>20</v>
      </c>
      <c r="AT24" s="278">
        <f t="shared" si="5"/>
        <v>106.38297872340425</v>
      </c>
      <c r="AU24" s="278"/>
      <c r="AV24" s="278">
        <f t="shared" si="2"/>
        <v>21.276595744680851</v>
      </c>
      <c r="AW24" s="278">
        <f t="shared" si="6"/>
        <v>106.38297872340425</v>
      </c>
      <c r="AX24" s="232">
        <f>IF(ISNUMBER(AS25),SUM(AU24:AV24),SUM(AU24:AW24))</f>
        <v>127.6595744680851</v>
      </c>
      <c r="AY24" s="279">
        <f t="shared" si="0"/>
        <v>0.36913541566724817</v>
      </c>
      <c r="AZ24" s="232">
        <f t="shared" si="4"/>
        <v>0.20438132966644987</v>
      </c>
      <c r="BA24" s="232"/>
    </row>
    <row r="25" spans="1:54" ht="14.5" customHeight="1" thickBot="1" x14ac:dyDescent="0.25">
      <c r="A25" s="246"/>
      <c r="B25" s="638"/>
      <c r="C25" s="639"/>
      <c r="D25" s="639"/>
      <c r="E25" s="679"/>
      <c r="F25" s="265" t="s">
        <v>574</v>
      </c>
      <c r="G25" s="266"/>
      <c r="H25" s="266"/>
      <c r="I25" s="267">
        <f>V14*J37</f>
        <v>1.7587212104284724</v>
      </c>
      <c r="J25" s="263"/>
      <c r="K25" s="264"/>
      <c r="L25" s="263"/>
      <c r="M25" s="263"/>
      <c r="N25" s="263"/>
      <c r="O25" s="263"/>
      <c r="P25" s="238"/>
      <c r="Q25" s="678"/>
      <c r="R25" s="347" t="s">
        <v>560</v>
      </c>
      <c r="S25" s="494">
        <f>T10*$R$37</f>
        <v>60.724273982716063</v>
      </c>
      <c r="T25" s="495"/>
      <c r="U25" s="496" t="s">
        <v>560</v>
      </c>
      <c r="V25" s="496"/>
      <c r="W25" s="497">
        <f>S25/S$23</f>
        <v>0.48024673198565221</v>
      </c>
      <c r="Y25" s="246"/>
      <c r="Z25" s="246"/>
      <c r="AA25" s="246"/>
      <c r="AB25" s="246"/>
      <c r="AC25" s="246"/>
      <c r="AD25" s="246"/>
      <c r="AE25" s="246"/>
      <c r="AF25" s="246"/>
      <c r="AG25" s="246"/>
      <c r="AH25" s="246"/>
      <c r="AI25" s="246"/>
      <c r="AJ25" s="246"/>
      <c r="AK25" s="246"/>
      <c r="AL25" s="246"/>
      <c r="AM25" s="246"/>
      <c r="AN25" s="246"/>
      <c r="AO25" s="246"/>
      <c r="AP25" s="246"/>
      <c r="AQ25" s="246"/>
      <c r="AS25" s="232" t="str">
        <f>IF(AS24&lt;$D$14,AS24+1,"")</f>
        <v/>
      </c>
      <c r="AT25" s="278">
        <f>IF(ISNUMBER(AS25),AW24,0)</f>
        <v>0</v>
      </c>
      <c r="AU25" s="278"/>
      <c r="AV25" s="278">
        <f t="shared" si="2"/>
        <v>0</v>
      </c>
      <c r="AW25" s="278">
        <f t="shared" si="6"/>
        <v>0</v>
      </c>
      <c r="AX25" s="232">
        <f t="shared" si="7"/>
        <v>0</v>
      </c>
      <c r="AY25" s="279">
        <f t="shared" si="0"/>
        <v>0</v>
      </c>
      <c r="AZ25" s="232">
        <f t="shared" si="4"/>
        <v>0</v>
      </c>
      <c r="BA25" s="232"/>
    </row>
    <row r="26" spans="1:54" ht="12" customHeight="1" thickBot="1" x14ac:dyDescent="0.25">
      <c r="A26" s="246"/>
      <c r="B26" s="567"/>
      <c r="C26" s="640"/>
      <c r="D26" s="640"/>
      <c r="E26" s="568"/>
      <c r="F26" s="247"/>
      <c r="G26" s="238"/>
      <c r="H26" s="238"/>
      <c r="I26" s="238"/>
      <c r="J26" s="238"/>
      <c r="K26" s="244"/>
      <c r="L26" s="238"/>
      <c r="M26" s="238"/>
      <c r="N26" s="238"/>
      <c r="O26" s="263"/>
      <c r="P26" s="238"/>
      <c r="Q26" s="238"/>
      <c r="R26" s="347" t="s">
        <v>390</v>
      </c>
      <c r="S26" s="494" t="e">
        <f>T12*$R$37</f>
        <v>#DIV/0!</v>
      </c>
      <c r="T26" s="495"/>
      <c r="U26" s="496" t="s">
        <v>390</v>
      </c>
      <c r="V26" s="496"/>
      <c r="W26" s="497" t="e">
        <f>S26/S$23</f>
        <v>#DIV/0!</v>
      </c>
      <c r="Y26" s="246"/>
      <c r="Z26" s="246"/>
      <c r="AA26" s="246"/>
      <c r="AB26" s="246"/>
      <c r="AC26" s="246"/>
      <c r="AD26" s="246"/>
      <c r="AE26" s="246"/>
      <c r="AF26" s="246"/>
      <c r="AG26" s="246"/>
      <c r="AH26" s="246"/>
      <c r="AI26" s="246"/>
      <c r="AJ26" s="246"/>
      <c r="AK26" s="246"/>
      <c r="AL26" s="246"/>
      <c r="AM26" s="246"/>
      <c r="AN26" s="246"/>
      <c r="AO26" s="246"/>
      <c r="AP26" s="246"/>
      <c r="AQ26" s="246"/>
      <c r="AS26" s="232" t="str">
        <f t="shared" si="1"/>
        <v/>
      </c>
      <c r="AT26" s="278">
        <f t="shared" si="5"/>
        <v>0</v>
      </c>
      <c r="AU26" s="278"/>
      <c r="AV26" s="278">
        <f t="shared" si="2"/>
        <v>0</v>
      </c>
      <c r="AW26" s="278">
        <f t="shared" si="6"/>
        <v>0</v>
      </c>
      <c r="AX26" s="232">
        <f t="shared" si="7"/>
        <v>0</v>
      </c>
      <c r="AY26" s="279">
        <f t="shared" si="0"/>
        <v>0</v>
      </c>
      <c r="AZ26" s="232">
        <f t="shared" si="4"/>
        <v>0</v>
      </c>
      <c r="BA26" s="232"/>
    </row>
    <row r="27" spans="1:54" ht="12.75" customHeight="1" x14ac:dyDescent="0.2">
      <c r="A27" s="246"/>
      <c r="B27" s="246"/>
      <c r="C27" s="246"/>
      <c r="D27" s="246"/>
      <c r="E27" s="238"/>
      <c r="F27" s="268" t="s">
        <v>282</v>
      </c>
      <c r="G27" s="489">
        <f>I21/I$24</f>
        <v>7.1078759306487047</v>
      </c>
      <c r="H27" s="269" t="s">
        <v>568</v>
      </c>
      <c r="I27" s="266"/>
      <c r="J27" s="266"/>
      <c r="K27" s="270"/>
      <c r="L27" s="238"/>
      <c r="M27" s="238"/>
      <c r="N27" s="238"/>
      <c r="O27" s="263"/>
      <c r="P27" s="238"/>
      <c r="R27" s="347" t="s">
        <v>542</v>
      </c>
      <c r="S27" s="494">
        <f>V14*$R$37</f>
        <v>17.4582872617612</v>
      </c>
      <c r="T27" s="495"/>
      <c r="U27" s="496" t="s">
        <v>542</v>
      </c>
      <c r="V27" s="496"/>
      <c r="W27" s="497">
        <f>S27/S$23</f>
        <v>0.13807139803621157</v>
      </c>
      <c r="Y27" s="246"/>
      <c r="Z27" s="246"/>
      <c r="AA27" s="246"/>
      <c r="AB27" s="246"/>
      <c r="AC27" s="246"/>
      <c r="AD27" s="246"/>
      <c r="AE27" s="246"/>
      <c r="AF27" s="246"/>
      <c r="AG27" s="246"/>
      <c r="AH27" s="246"/>
      <c r="AI27" s="246"/>
      <c r="AJ27" s="246"/>
      <c r="AK27" s="246"/>
      <c r="AL27" s="246"/>
      <c r="AM27" s="246"/>
      <c r="AN27" s="246"/>
      <c r="AO27" s="246"/>
      <c r="AP27" s="246"/>
      <c r="AQ27" s="246"/>
      <c r="AS27" s="232" t="str">
        <f t="shared" si="1"/>
        <v/>
      </c>
      <c r="AT27" s="278">
        <f t="shared" si="5"/>
        <v>0</v>
      </c>
      <c r="AU27" s="278"/>
      <c r="AV27" s="278">
        <f t="shared" si="2"/>
        <v>0</v>
      </c>
      <c r="AW27" s="278">
        <f t="shared" si="6"/>
        <v>0</v>
      </c>
      <c r="AX27" s="232">
        <f t="shared" si="7"/>
        <v>0</v>
      </c>
      <c r="AY27" s="279">
        <f t="shared" si="0"/>
        <v>0</v>
      </c>
      <c r="AZ27" s="232">
        <f t="shared" si="4"/>
        <v>0</v>
      </c>
      <c r="BA27" s="288"/>
      <c r="BB27" s="246"/>
    </row>
    <row r="28" spans="1:54" s="246" customFormat="1" ht="14.5" customHeight="1" x14ac:dyDescent="0.2">
      <c r="E28" s="238"/>
      <c r="F28" s="268" t="s">
        <v>569</v>
      </c>
      <c r="G28" s="489">
        <f>I22/I$24</f>
        <v>3.4782492161026668</v>
      </c>
      <c r="H28" s="269" t="s">
        <v>568</v>
      </c>
      <c r="I28" s="266"/>
      <c r="J28" s="266"/>
      <c r="K28" s="270"/>
      <c r="L28" s="238"/>
      <c r="M28" s="238"/>
      <c r="N28" s="238"/>
      <c r="O28" s="263"/>
      <c r="P28" s="238"/>
      <c r="R28" s="345" t="s">
        <v>247</v>
      </c>
      <c r="S28" s="498"/>
      <c r="T28" s="495"/>
      <c r="U28" s="495"/>
      <c r="V28" s="495"/>
      <c r="W28" s="499" t="s">
        <v>280</v>
      </c>
      <c r="AS28" s="232" t="str">
        <f t="shared" si="1"/>
        <v/>
      </c>
      <c r="AT28" s="278">
        <f t="shared" si="5"/>
        <v>0</v>
      </c>
      <c r="AU28" s="278"/>
      <c r="AV28" s="278">
        <f t="shared" si="2"/>
        <v>0</v>
      </c>
      <c r="AW28" s="278">
        <f t="shared" si="6"/>
        <v>0</v>
      </c>
      <c r="AX28" s="232">
        <f>IF(ISNUMBER(AS29),SUM(AU28:AV28),SUM(AU28:AW28))</f>
        <v>0</v>
      </c>
      <c r="AY28" s="279">
        <f t="shared" si="0"/>
        <v>0</v>
      </c>
      <c r="AZ28" s="232">
        <f t="shared" si="4"/>
        <v>0</v>
      </c>
      <c r="BA28" s="232"/>
      <c r="BB28" s="233"/>
    </row>
    <row r="29" spans="1:54" ht="13.75" customHeight="1" x14ac:dyDescent="0.2">
      <c r="A29" s="246"/>
      <c r="B29" s="246"/>
      <c r="C29" s="246"/>
      <c r="D29" s="246"/>
      <c r="E29" s="238"/>
      <c r="F29" s="268" t="s">
        <v>407</v>
      </c>
      <c r="G29" s="489" t="e">
        <f>I23/I$24</f>
        <v>#DIV/0!</v>
      </c>
      <c r="H29" s="269" t="s">
        <v>568</v>
      </c>
      <c r="I29" s="266"/>
      <c r="J29" s="266"/>
      <c r="K29" s="270"/>
      <c r="L29" s="238"/>
      <c r="M29" s="238"/>
      <c r="N29" s="238"/>
      <c r="O29" s="263"/>
      <c r="P29" s="238"/>
      <c r="Q29" s="344"/>
      <c r="R29" s="346" t="s">
        <v>570</v>
      </c>
      <c r="S29" s="494" t="str">
        <f>IFERROR(IF(S24-S$23&gt;0,S24-S$23,"N/A"),"N/A")</f>
        <v>N/A</v>
      </c>
      <c r="T29" s="500"/>
      <c r="U29" s="496"/>
      <c r="V29" s="496"/>
      <c r="W29" s="501" t="str">
        <f>IF(AND(S29&lt;&gt;"N/A",S29&gt;=$W$33),R29,"Bednets")</f>
        <v>Bednets</v>
      </c>
      <c r="Y29" s="246"/>
      <c r="Z29" s="246"/>
      <c r="AA29" s="246"/>
      <c r="AB29" s="246"/>
      <c r="AC29" s="246"/>
      <c r="AD29" s="246"/>
      <c r="AE29" s="246"/>
      <c r="AF29" s="246"/>
      <c r="AG29" s="246"/>
      <c r="AH29" s="246"/>
      <c r="AI29" s="246"/>
      <c r="AJ29" s="246"/>
      <c r="AK29" s="246"/>
      <c r="AL29" s="246"/>
      <c r="AM29" s="246"/>
      <c r="AN29" s="246"/>
      <c r="AO29" s="246"/>
      <c r="AP29" s="246"/>
      <c r="AQ29" s="246"/>
      <c r="AS29" s="232" t="str">
        <f>IF(AS28&lt;$D$14,AS28+1,"")</f>
        <v/>
      </c>
      <c r="AT29" s="278">
        <f>IF(ISNUMBER(AS29),AW28,0)</f>
        <v>0</v>
      </c>
      <c r="AU29" s="278"/>
      <c r="AV29" s="278">
        <f t="shared" si="2"/>
        <v>0</v>
      </c>
      <c r="AW29" s="278">
        <f t="shared" si="6"/>
        <v>0</v>
      </c>
      <c r="AX29" s="232">
        <f t="shared" si="7"/>
        <v>0</v>
      </c>
      <c r="AY29" s="279">
        <f t="shared" si="0"/>
        <v>0</v>
      </c>
      <c r="AZ29" s="232">
        <f t="shared" si="4"/>
        <v>0</v>
      </c>
      <c r="BA29" s="232"/>
    </row>
    <row r="30" spans="1:54" ht="13.5" customHeight="1" x14ac:dyDescent="0.2">
      <c r="A30" s="246"/>
      <c r="B30" s="246"/>
      <c r="C30" s="246"/>
      <c r="D30" s="246"/>
      <c r="E30" s="238"/>
      <c r="F30" s="247"/>
      <c r="G30" s="238"/>
      <c r="H30" s="238"/>
      <c r="I30" s="238"/>
      <c r="J30" s="263"/>
      <c r="K30" s="264"/>
      <c r="L30" s="238"/>
      <c r="M30" s="238"/>
      <c r="N30" s="238"/>
      <c r="O30" s="263"/>
      <c r="P30" s="238"/>
      <c r="Q30" s="344"/>
      <c r="R30" s="346" t="s">
        <v>560</v>
      </c>
      <c r="S30" s="494" t="str">
        <f>IFERROR(IF(S25-S$23&gt;0,S25-S$23,"N/A"),"N/A")</f>
        <v>N/A</v>
      </c>
      <c r="T30" s="500"/>
      <c r="U30" s="496"/>
      <c r="V30" s="496"/>
      <c r="W30" s="501" t="str">
        <f>IF(AND(S30&lt;&gt;"N/A",S30&gt;=$W$33),R30,"Bednets")</f>
        <v>Bednets</v>
      </c>
      <c r="Y30" s="246"/>
      <c r="Z30" s="246"/>
      <c r="AA30" s="246"/>
      <c r="AB30" s="246"/>
      <c r="AC30" s="246"/>
      <c r="AD30" s="246"/>
      <c r="AE30" s="246"/>
      <c r="AF30" s="246"/>
      <c r="AG30" s="246"/>
      <c r="AH30" s="246"/>
      <c r="AI30" s="246"/>
      <c r="AJ30" s="246"/>
      <c r="AK30" s="246"/>
      <c r="AL30" s="246"/>
      <c r="AM30" s="246"/>
      <c r="AN30" s="246"/>
      <c r="AO30" s="246"/>
      <c r="AP30" s="246"/>
      <c r="AQ30" s="246"/>
      <c r="AS30" s="232" t="str">
        <f t="shared" si="1"/>
        <v/>
      </c>
      <c r="AT30" s="278">
        <f t="shared" si="5"/>
        <v>0</v>
      </c>
      <c r="AU30" s="278"/>
      <c r="AV30" s="278">
        <f t="shared" si="2"/>
        <v>0</v>
      </c>
      <c r="AW30" s="278">
        <f t="shared" si="6"/>
        <v>0</v>
      </c>
      <c r="AX30" s="232">
        <f>IF(ISNUMBER(AS33),SUM(AU30:AV30),SUM(AU30:AW30))</f>
        <v>0</v>
      </c>
      <c r="AY30" s="279">
        <f t="shared" si="0"/>
        <v>0</v>
      </c>
      <c r="AZ30" s="232">
        <f t="shared" si="4"/>
        <v>0</v>
      </c>
      <c r="BA30" s="232"/>
    </row>
    <row r="31" spans="1:54" ht="13.5" customHeight="1" x14ac:dyDescent="0.2">
      <c r="A31" s="246"/>
      <c r="B31" s="246"/>
      <c r="C31" s="246"/>
      <c r="D31" s="246"/>
      <c r="E31" s="238"/>
      <c r="F31" s="618" t="s">
        <v>446</v>
      </c>
      <c r="G31" s="261" t="s">
        <v>570</v>
      </c>
      <c r="H31" s="262"/>
      <c r="I31" s="431">
        <f>V9</f>
        <v>1670.826640008235</v>
      </c>
      <c r="J31" s="263"/>
      <c r="K31" s="264"/>
      <c r="L31" s="238"/>
      <c r="M31" s="238"/>
      <c r="N31" s="238"/>
      <c r="O31" s="263"/>
      <c r="P31" s="238"/>
      <c r="Q31" s="286"/>
      <c r="R31" s="346" t="s">
        <v>390</v>
      </c>
      <c r="S31" s="494" t="str">
        <f>IFERROR(IF(S26-S$23&gt;0,S26-S$23,"N/A"),"N/A")</f>
        <v>N/A</v>
      </c>
      <c r="T31" s="500"/>
      <c r="U31" s="496"/>
      <c r="V31" s="496"/>
      <c r="W31" s="501" t="str">
        <f>IF(AND(S31&lt;&gt;"N/A",S31&gt;=$W$33),R31,"Bednets")</f>
        <v>Bednets</v>
      </c>
      <c r="Y31" s="246"/>
      <c r="Z31" s="246"/>
      <c r="AA31" s="246"/>
      <c r="AB31" s="246"/>
      <c r="AC31" s="246"/>
      <c r="AD31" s="246"/>
      <c r="AE31" s="246"/>
      <c r="AF31" s="246"/>
      <c r="AG31" s="246"/>
      <c r="AH31" s="246"/>
      <c r="AI31" s="246"/>
      <c r="AJ31" s="246"/>
      <c r="AK31" s="246"/>
      <c r="AL31" s="246"/>
      <c r="AM31" s="246"/>
      <c r="AN31" s="246"/>
      <c r="AO31" s="246"/>
      <c r="AP31" s="246"/>
      <c r="AQ31" s="246"/>
      <c r="AS31" s="232"/>
      <c r="AT31" s="278"/>
      <c r="AU31" s="278"/>
      <c r="AV31" s="278"/>
      <c r="AW31" s="278"/>
      <c r="AX31" s="232"/>
      <c r="AY31" s="279"/>
      <c r="AZ31" s="232"/>
      <c r="BA31" s="232"/>
    </row>
    <row r="32" spans="1:54" ht="13.5" customHeight="1" x14ac:dyDescent="0.2">
      <c r="A32" s="246"/>
      <c r="B32" s="246"/>
      <c r="C32" s="246"/>
      <c r="D32" s="246"/>
      <c r="E32" s="238"/>
      <c r="F32" s="618"/>
      <c r="G32" s="261" t="s">
        <v>560</v>
      </c>
      <c r="H32" s="262"/>
      <c r="I32" s="431">
        <f>V10</f>
        <v>3414.3696213085377</v>
      </c>
      <c r="J32" s="263"/>
      <c r="K32" s="264"/>
      <c r="L32" s="263"/>
      <c r="M32" s="263"/>
      <c r="N32" s="263"/>
      <c r="O32" s="263"/>
      <c r="P32" s="238"/>
      <c r="Q32" s="286"/>
      <c r="R32" s="352"/>
      <c r="S32" s="353"/>
      <c r="T32" s="353"/>
      <c r="U32" s="353"/>
      <c r="V32" s="353"/>
      <c r="W32" s="354"/>
      <c r="Y32" s="246"/>
      <c r="Z32" s="246"/>
      <c r="AA32" s="246"/>
      <c r="AB32" s="246"/>
      <c r="AC32" s="246"/>
      <c r="AD32" s="246"/>
      <c r="AE32" s="246"/>
      <c r="AF32" s="246"/>
      <c r="AG32" s="246"/>
      <c r="AH32" s="246"/>
      <c r="AI32" s="246"/>
      <c r="AJ32" s="246"/>
      <c r="AK32" s="246"/>
      <c r="AL32" s="246"/>
      <c r="AM32" s="246"/>
      <c r="AN32" s="246"/>
      <c r="AO32" s="246"/>
      <c r="AP32" s="246"/>
      <c r="AQ32" s="246"/>
      <c r="AS32" s="232"/>
      <c r="AT32" s="278"/>
      <c r="AU32" s="278"/>
      <c r="AV32" s="278"/>
      <c r="AW32" s="278"/>
      <c r="AX32" s="232"/>
      <c r="AY32" s="279"/>
      <c r="AZ32" s="232"/>
      <c r="BA32" s="232"/>
    </row>
    <row r="33" spans="1:53" ht="13.75" customHeight="1" thickBot="1" x14ac:dyDescent="0.25">
      <c r="A33" s="246"/>
      <c r="B33" s="246"/>
      <c r="C33" s="246"/>
      <c r="D33" s="246"/>
      <c r="E33" s="246"/>
      <c r="F33" s="618"/>
      <c r="G33" s="261" t="s">
        <v>566</v>
      </c>
      <c r="H33" s="262"/>
      <c r="I33" s="431">
        <f>V11</f>
        <v>1521.4804636235235</v>
      </c>
      <c r="J33" s="238"/>
      <c r="K33" s="244"/>
      <c r="L33" s="238"/>
      <c r="M33" s="238"/>
      <c r="N33" s="238"/>
      <c r="O33" s="238"/>
      <c r="P33" s="246"/>
      <c r="Q33" s="286"/>
      <c r="R33" s="642" t="s">
        <v>248</v>
      </c>
      <c r="S33" s="643"/>
      <c r="T33" s="643"/>
      <c r="U33" s="643"/>
      <c r="V33" s="643"/>
      <c r="W33" s="502">
        <f>$G$10*U37</f>
        <v>73.050000000000011</v>
      </c>
      <c r="X33" s="286"/>
      <c r="Y33" s="286"/>
      <c r="Z33" s="246"/>
      <c r="AA33" s="246"/>
      <c r="AB33" s="246"/>
      <c r="AC33" s="246"/>
      <c r="AD33" s="246"/>
      <c r="AE33" s="246"/>
      <c r="AF33" s="246"/>
      <c r="AG33" s="246"/>
      <c r="AH33" s="246"/>
      <c r="AI33" s="246"/>
      <c r="AJ33" s="246"/>
      <c r="AK33" s="246"/>
      <c r="AL33" s="246"/>
      <c r="AM33" s="246"/>
      <c r="AN33" s="246"/>
      <c r="AO33" s="246"/>
      <c r="AP33" s="246"/>
      <c r="AQ33" s="246"/>
      <c r="AS33" s="232" t="str">
        <f>IF(AS30&lt;$D$14,AS30+1,"")</f>
        <v/>
      </c>
      <c r="AT33" s="278">
        <f>IF(ISNUMBER(AS33),AW30,0)</f>
        <v>0</v>
      </c>
      <c r="AU33" s="278"/>
      <c r="AV33" s="278">
        <f t="shared" si="2"/>
        <v>0</v>
      </c>
      <c r="AW33" s="278">
        <f t="shared" si="6"/>
        <v>0</v>
      </c>
      <c r="AX33" s="232">
        <f>IF(ISNUMBER(AS35),SUM(AU33:AV33),SUM(AU33:AW33))</f>
        <v>0</v>
      </c>
      <c r="AY33" s="279">
        <f>LN(AX33+$J$37)-LN($J$37)</f>
        <v>0</v>
      </c>
      <c r="AZ33" s="232">
        <f t="shared" si="4"/>
        <v>0</v>
      </c>
    </row>
    <row r="34" spans="1:53" ht="13.75" customHeight="1" thickBot="1" x14ac:dyDescent="0.25">
      <c r="A34" s="246"/>
      <c r="B34" s="246"/>
      <c r="C34" s="246"/>
      <c r="D34" s="246"/>
      <c r="E34" s="246"/>
      <c r="F34" s="680"/>
      <c r="G34" s="289" t="s">
        <v>390</v>
      </c>
      <c r="H34" s="290"/>
      <c r="I34" s="432" t="str">
        <f>V12</f>
        <v>-</v>
      </c>
      <c r="J34" s="239"/>
      <c r="K34" s="325"/>
      <c r="L34" s="238"/>
      <c r="M34" s="238"/>
      <c r="N34" s="238"/>
      <c r="O34" s="238"/>
      <c r="P34" s="246"/>
      <c r="Q34" s="286"/>
      <c r="R34" s="378"/>
      <c r="S34" s="378"/>
      <c r="T34" s="378"/>
      <c r="U34" s="378"/>
      <c r="V34" s="378"/>
      <c r="W34" s="287"/>
      <c r="X34" s="287"/>
      <c r="Y34" s="286"/>
      <c r="Z34" s="246"/>
      <c r="AA34" s="246"/>
      <c r="AB34" s="246"/>
      <c r="AC34" s="246"/>
      <c r="AD34" s="246"/>
      <c r="AE34" s="246"/>
      <c r="AF34" s="246"/>
      <c r="AG34" s="246"/>
      <c r="AH34" s="246"/>
      <c r="AI34" s="246"/>
      <c r="AJ34" s="246"/>
      <c r="AK34" s="246"/>
      <c r="AL34" s="246"/>
      <c r="AM34" s="246"/>
      <c r="AN34" s="246"/>
      <c r="AO34" s="246"/>
      <c r="AP34" s="246"/>
      <c r="AQ34" s="246"/>
      <c r="AS34" s="232"/>
      <c r="AT34" s="278"/>
      <c r="AU34" s="278"/>
      <c r="AV34" s="278"/>
      <c r="AW34" s="278"/>
      <c r="AX34" s="232"/>
      <c r="AY34" s="279"/>
      <c r="AZ34" s="232"/>
    </row>
    <row r="35" spans="1:53" ht="51" customHeight="1" thickBot="1" x14ac:dyDescent="0.25">
      <c r="B35" s="246"/>
      <c r="C35" s="246"/>
      <c r="D35" s="246"/>
      <c r="E35" s="246"/>
      <c r="F35" s="246"/>
      <c r="G35" s="246"/>
      <c r="H35" s="246"/>
      <c r="I35" s="309"/>
      <c r="J35" s="309"/>
      <c r="K35" s="246"/>
      <c r="L35" s="246"/>
      <c r="M35" s="246"/>
      <c r="N35" s="246"/>
      <c r="O35" s="246"/>
      <c r="P35" s="246"/>
      <c r="Q35" s="286"/>
      <c r="R35" s="286"/>
      <c r="S35" s="286"/>
      <c r="T35" s="286"/>
      <c r="U35" s="286"/>
      <c r="W35" s="246"/>
      <c r="Y35" s="286"/>
      <c r="Z35" s="246"/>
      <c r="AA35" s="246"/>
      <c r="AB35" s="246"/>
      <c r="AC35" s="246"/>
      <c r="AD35" s="246"/>
      <c r="AE35" s="246"/>
      <c r="AF35" s="246"/>
      <c r="AG35" s="246"/>
      <c r="AH35" s="246"/>
      <c r="AI35" s="246"/>
      <c r="AJ35" s="246"/>
      <c r="AK35" s="246"/>
      <c r="AL35" s="246"/>
      <c r="AM35" s="246"/>
      <c r="AN35" s="246"/>
      <c r="AR35" s="232"/>
      <c r="AS35" s="232" t="str">
        <f>IF(AS33&lt;$D$14,AS33+1,"")</f>
        <v/>
      </c>
      <c r="AT35" s="278">
        <f>IF(ISNUMBER(AS35),AW33,0)</f>
        <v>0</v>
      </c>
      <c r="AU35" s="278"/>
      <c r="AV35" s="278">
        <f t="shared" si="2"/>
        <v>0</v>
      </c>
      <c r="AW35" s="278">
        <f t="shared" si="6"/>
        <v>0</v>
      </c>
      <c r="AX35" s="232">
        <f t="shared" si="7"/>
        <v>0</v>
      </c>
      <c r="AY35" s="279">
        <f>LN(AX35+$J$37)-LN($J$37)</f>
        <v>0</v>
      </c>
      <c r="AZ35" s="232">
        <f t="shared" si="4"/>
        <v>0</v>
      </c>
    </row>
    <row r="36" spans="1:53" ht="31.5" customHeight="1" x14ac:dyDescent="0.2">
      <c r="A36" s="246"/>
      <c r="B36" s="644" t="s">
        <v>557</v>
      </c>
      <c r="C36" s="248"/>
      <c r="D36" s="647" t="s">
        <v>552</v>
      </c>
      <c r="E36" s="648"/>
      <c r="F36" s="649"/>
      <c r="G36" s="250" t="s">
        <v>544</v>
      </c>
      <c r="H36" s="647" t="s">
        <v>555</v>
      </c>
      <c r="I36" s="649"/>
      <c r="J36" s="647" t="s">
        <v>554</v>
      </c>
      <c r="K36" s="648"/>
      <c r="L36" s="648"/>
      <c r="M36" s="648"/>
      <c r="N36" s="649"/>
      <c r="O36" s="647" t="s">
        <v>545</v>
      </c>
      <c r="P36" s="649"/>
      <c r="Q36" s="470" t="s">
        <v>546</v>
      </c>
      <c r="R36" s="281" t="s">
        <v>441</v>
      </c>
      <c r="S36" s="466" t="s">
        <v>553</v>
      </c>
      <c r="T36" s="467"/>
      <c r="U36" s="281" t="s">
        <v>435</v>
      </c>
      <c r="V36" s="281" t="s">
        <v>401</v>
      </c>
      <c r="W36" s="283" t="s">
        <v>404</v>
      </c>
      <c r="X36" s="212"/>
      <c r="Y36" s="246"/>
      <c r="Z36" s="246"/>
      <c r="AA36" s="246"/>
      <c r="AB36" s="246"/>
      <c r="AC36" s="246"/>
      <c r="AD36" s="246"/>
      <c r="AE36" s="246"/>
      <c r="AF36" s="246"/>
      <c r="AG36" s="246"/>
      <c r="AH36" s="246"/>
      <c r="AI36" s="246"/>
      <c r="AJ36" s="246"/>
      <c r="AK36" s="246"/>
      <c r="AL36" s="246"/>
      <c r="AM36" s="246"/>
      <c r="AN36" s="246"/>
      <c r="AR36" s="232"/>
      <c r="AS36" s="232" t="str">
        <f t="shared" si="1"/>
        <v/>
      </c>
      <c r="AT36" s="278">
        <f t="shared" si="5"/>
        <v>0</v>
      </c>
      <c r="AU36" s="278"/>
      <c r="AV36" s="278">
        <f t="shared" si="2"/>
        <v>0</v>
      </c>
      <c r="AW36" s="278">
        <f t="shared" si="6"/>
        <v>0</v>
      </c>
      <c r="AX36" s="232">
        <f t="shared" si="7"/>
        <v>0</v>
      </c>
      <c r="AY36" s="279">
        <f>LN(AX36+$J$37)-LN($J$37)</f>
        <v>0</v>
      </c>
      <c r="AZ36" s="232">
        <f t="shared" si="4"/>
        <v>0</v>
      </c>
      <c r="BA36" s="232"/>
    </row>
    <row r="37" spans="1:53" ht="12" customHeight="1" x14ac:dyDescent="0.2">
      <c r="A37" s="246"/>
      <c r="B37" s="645"/>
      <c r="C37" s="251" t="s">
        <v>548</v>
      </c>
      <c r="D37" s="650">
        <f>Parameters!$D$29</f>
        <v>0.26900000000000002</v>
      </c>
      <c r="E37" s="651"/>
      <c r="F37" s="652"/>
      <c r="G37" s="255">
        <f>Parameters!$D$30</f>
        <v>2.41</v>
      </c>
      <c r="H37" s="653">
        <f>Parameters!$D$61</f>
        <v>4.7</v>
      </c>
      <c r="I37" s="654"/>
      <c r="J37" s="629">
        <f>Parameters!$D$58</f>
        <v>285.92228810603416</v>
      </c>
      <c r="K37" s="630"/>
      <c r="L37" s="630"/>
      <c r="M37" s="630"/>
      <c r="N37" s="631"/>
      <c r="O37" s="632">
        <f>Parameters!$D$59</f>
        <v>1000</v>
      </c>
      <c r="P37" s="633"/>
      <c r="Q37" s="280">
        <f>Parameters!$D$60</f>
        <v>212.7659574468085</v>
      </c>
      <c r="R37" s="282">
        <f>Parameters!$D$49</f>
        <v>2838.2630576673801</v>
      </c>
      <c r="S37" s="282">
        <f>Parameters!$D$50</f>
        <v>3.6112369528824271</v>
      </c>
      <c r="T37" s="464"/>
      <c r="U37" s="340">
        <f>Parameters!$D$11</f>
        <v>36.525000000000006</v>
      </c>
      <c r="V37" s="328">
        <f>Parameters!$D$45</f>
        <v>15</v>
      </c>
      <c r="W37" s="320">
        <f>Parameters!$D$46</f>
        <v>0.43099999999999999</v>
      </c>
      <c r="X37" s="316"/>
      <c r="Y37" s="246"/>
      <c r="Z37" s="238"/>
      <c r="AA37" s="246"/>
      <c r="AB37" s="246"/>
      <c r="AC37" s="246"/>
      <c r="AD37" s="246"/>
      <c r="AE37" s="246"/>
      <c r="AF37" s="246"/>
      <c r="AG37" s="246"/>
      <c r="AH37" s="246"/>
      <c r="AI37" s="246"/>
      <c r="AJ37" s="246"/>
      <c r="AK37" s="246"/>
      <c r="AL37" s="246"/>
      <c r="AM37" s="246"/>
      <c r="AN37" s="246"/>
      <c r="AO37" s="246"/>
      <c r="AS37" s="232" t="str">
        <f t="shared" si="1"/>
        <v/>
      </c>
      <c r="AT37" s="278">
        <f t="shared" si="5"/>
        <v>0</v>
      </c>
      <c r="AU37" s="278"/>
      <c r="AV37" s="278">
        <f t="shared" si="2"/>
        <v>0</v>
      </c>
      <c r="AW37" s="278">
        <f t="shared" si="6"/>
        <v>0</v>
      </c>
      <c r="AX37" s="232">
        <f t="shared" si="7"/>
        <v>0</v>
      </c>
      <c r="AY37" s="279">
        <f>LN(AX37+$J$37)-LN($J$37)</f>
        <v>0</v>
      </c>
      <c r="AZ37" s="232">
        <f t="shared" si="4"/>
        <v>0</v>
      </c>
      <c r="BA37" s="232"/>
    </row>
    <row r="38" spans="1:53" ht="12" customHeight="1" thickBot="1" x14ac:dyDescent="0.25">
      <c r="A38" s="246"/>
      <c r="B38" s="646"/>
      <c r="C38" s="252" t="s">
        <v>549</v>
      </c>
      <c r="D38" s="634" t="s">
        <v>218</v>
      </c>
      <c r="E38" s="635"/>
      <c r="F38" s="635"/>
      <c r="G38" s="636"/>
      <c r="H38" s="392" t="s">
        <v>551</v>
      </c>
      <c r="I38" s="393"/>
      <c r="J38" s="393"/>
      <c r="K38" s="393"/>
      <c r="L38" s="393"/>
      <c r="M38" s="393"/>
      <c r="N38" s="393"/>
      <c r="O38" s="393"/>
      <c r="P38" s="393"/>
      <c r="Q38" s="394"/>
      <c r="R38" s="634" t="s">
        <v>131</v>
      </c>
      <c r="S38" s="635"/>
      <c r="T38" s="636"/>
      <c r="U38" s="329" t="s">
        <v>253</v>
      </c>
      <c r="V38" s="330" t="s">
        <v>402</v>
      </c>
      <c r="W38" s="331" t="s">
        <v>349</v>
      </c>
      <c r="X38" s="429"/>
      <c r="Y38" s="246"/>
      <c r="Z38" s="238"/>
      <c r="AA38" s="246"/>
      <c r="AB38" s="246"/>
      <c r="AC38" s="246"/>
      <c r="AD38" s="246"/>
      <c r="AE38" s="246"/>
      <c r="AF38" s="246"/>
      <c r="AG38" s="246"/>
      <c r="AH38" s="246"/>
      <c r="AI38" s="246"/>
      <c r="AJ38" s="246"/>
      <c r="AK38" s="246"/>
      <c r="AL38" s="246"/>
      <c r="AM38" s="246"/>
      <c r="AN38" s="246"/>
      <c r="AO38" s="246"/>
      <c r="AP38" s="246"/>
      <c r="AQ38" s="246"/>
      <c r="AS38" s="232" t="str">
        <f t="shared" si="1"/>
        <v/>
      </c>
      <c r="AT38" s="278">
        <f t="shared" si="5"/>
        <v>0</v>
      </c>
      <c r="AU38" s="278"/>
      <c r="AV38" s="278">
        <f t="shared" si="2"/>
        <v>0</v>
      </c>
      <c r="AW38" s="278">
        <f t="shared" si="6"/>
        <v>0</v>
      </c>
      <c r="AX38" s="232">
        <f t="shared" si="7"/>
        <v>0</v>
      </c>
      <c r="AY38" s="279">
        <f>LN(AX38+$J$37)-LN($J$37)</f>
        <v>0</v>
      </c>
      <c r="AZ38" s="232">
        <f t="shared" si="4"/>
        <v>0</v>
      </c>
      <c r="BA38" s="232"/>
    </row>
    <row r="39" spans="1:53" s="246" customFormat="1" ht="15" x14ac:dyDescent="0.2">
      <c r="J39" s="309"/>
      <c r="K39" s="309"/>
      <c r="L39" s="309"/>
      <c r="M39" s="309"/>
      <c r="Z39" s="238"/>
      <c r="AS39" s="288" t="str">
        <f t="shared" si="1"/>
        <v/>
      </c>
      <c r="AT39" s="326">
        <f t="shared" si="5"/>
        <v>0</v>
      </c>
      <c r="AU39" s="326"/>
      <c r="AV39" s="326">
        <f t="shared" si="2"/>
        <v>0</v>
      </c>
      <c r="AW39" s="326">
        <f t="shared" si="6"/>
        <v>0</v>
      </c>
      <c r="AX39" s="288">
        <f t="shared" si="7"/>
        <v>0</v>
      </c>
      <c r="AY39" s="327">
        <f t="shared" ref="AY39:AY102" si="8">LN(AX39+$J$37)-LN($J$37)</f>
        <v>0</v>
      </c>
      <c r="AZ39" s="288">
        <f t="shared" si="4"/>
        <v>0</v>
      </c>
      <c r="BA39" s="288"/>
    </row>
    <row r="40" spans="1:53" s="246" customFormat="1" ht="15" x14ac:dyDescent="0.2">
      <c r="R40" s="309"/>
      <c r="AS40" s="288" t="str">
        <f t="shared" si="1"/>
        <v/>
      </c>
      <c r="AT40" s="326">
        <f t="shared" si="5"/>
        <v>0</v>
      </c>
      <c r="AU40" s="326"/>
      <c r="AV40" s="326">
        <f t="shared" si="2"/>
        <v>0</v>
      </c>
      <c r="AW40" s="326">
        <f t="shared" si="6"/>
        <v>0</v>
      </c>
      <c r="AX40" s="288">
        <f t="shared" si="7"/>
        <v>0</v>
      </c>
      <c r="AY40" s="327">
        <f t="shared" si="8"/>
        <v>0</v>
      </c>
      <c r="AZ40" s="288">
        <f t="shared" si="4"/>
        <v>0</v>
      </c>
      <c r="BA40" s="288"/>
    </row>
    <row r="41" spans="1:53" s="246" customFormat="1" ht="15" x14ac:dyDescent="0.2">
      <c r="R41" s="309"/>
      <c r="AS41" s="288" t="str">
        <f t="shared" si="1"/>
        <v/>
      </c>
      <c r="AT41" s="326">
        <f t="shared" si="5"/>
        <v>0</v>
      </c>
      <c r="AU41" s="326"/>
      <c r="AV41" s="326">
        <f t="shared" si="2"/>
        <v>0</v>
      </c>
      <c r="AW41" s="326">
        <f t="shared" si="6"/>
        <v>0</v>
      </c>
      <c r="AX41" s="288">
        <f t="shared" si="7"/>
        <v>0</v>
      </c>
      <c r="AY41" s="327">
        <f t="shared" si="8"/>
        <v>0</v>
      </c>
      <c r="AZ41" s="288">
        <f t="shared" si="4"/>
        <v>0</v>
      </c>
      <c r="BA41" s="288"/>
    </row>
    <row r="42" spans="1:53" s="246" customFormat="1" ht="15" x14ac:dyDescent="0.2">
      <c r="R42" s="309"/>
      <c r="S42" s="410"/>
      <c r="AS42" s="288" t="str">
        <f t="shared" si="1"/>
        <v/>
      </c>
      <c r="AT42" s="326">
        <f t="shared" si="5"/>
        <v>0</v>
      </c>
      <c r="AU42" s="326"/>
      <c r="AV42" s="326">
        <f t="shared" si="2"/>
        <v>0</v>
      </c>
      <c r="AW42" s="326">
        <f t="shared" si="6"/>
        <v>0</v>
      </c>
      <c r="AX42" s="288">
        <f t="shared" si="7"/>
        <v>0</v>
      </c>
      <c r="AY42" s="327">
        <f t="shared" si="8"/>
        <v>0</v>
      </c>
      <c r="AZ42" s="288">
        <f t="shared" si="4"/>
        <v>0</v>
      </c>
      <c r="BA42" s="288"/>
    </row>
    <row r="43" spans="1:53" s="246" customFormat="1" ht="15" x14ac:dyDescent="0.2">
      <c r="R43" s="412"/>
      <c r="S43" s="387"/>
      <c r="AS43" s="288" t="str">
        <f t="shared" si="1"/>
        <v/>
      </c>
      <c r="AT43" s="326">
        <f t="shared" si="5"/>
        <v>0</v>
      </c>
      <c r="AU43" s="326"/>
      <c r="AV43" s="326">
        <f t="shared" si="2"/>
        <v>0</v>
      </c>
      <c r="AW43" s="326">
        <f t="shared" si="6"/>
        <v>0</v>
      </c>
      <c r="AX43" s="288">
        <f t="shared" si="7"/>
        <v>0</v>
      </c>
      <c r="AY43" s="327">
        <f t="shared" si="8"/>
        <v>0</v>
      </c>
      <c r="AZ43" s="288">
        <f t="shared" si="4"/>
        <v>0</v>
      </c>
      <c r="BA43" s="288"/>
    </row>
    <row r="44" spans="1:53" s="246" customFormat="1" ht="15" x14ac:dyDescent="0.2">
      <c r="S44" s="387"/>
      <c r="AS44" s="288" t="str">
        <f t="shared" si="1"/>
        <v/>
      </c>
      <c r="AT44" s="326">
        <f t="shared" si="5"/>
        <v>0</v>
      </c>
      <c r="AU44" s="326"/>
      <c r="AV44" s="326">
        <f t="shared" si="2"/>
        <v>0</v>
      </c>
      <c r="AW44" s="326">
        <f t="shared" si="6"/>
        <v>0</v>
      </c>
      <c r="AX44" s="288">
        <f t="shared" si="7"/>
        <v>0</v>
      </c>
      <c r="AY44" s="327">
        <f t="shared" si="8"/>
        <v>0</v>
      </c>
      <c r="AZ44" s="288">
        <f t="shared" si="4"/>
        <v>0</v>
      </c>
      <c r="BA44" s="288"/>
    </row>
    <row r="45" spans="1:53" s="246" customFormat="1" ht="15" x14ac:dyDescent="0.2">
      <c r="S45" s="387"/>
      <c r="AS45" s="288" t="str">
        <f t="shared" si="1"/>
        <v/>
      </c>
      <c r="AT45" s="326">
        <f t="shared" si="5"/>
        <v>0</v>
      </c>
      <c r="AU45" s="326"/>
      <c r="AV45" s="326">
        <f t="shared" si="2"/>
        <v>0</v>
      </c>
      <c r="AW45" s="326">
        <f t="shared" si="6"/>
        <v>0</v>
      </c>
      <c r="AX45" s="288">
        <f t="shared" si="7"/>
        <v>0</v>
      </c>
      <c r="AY45" s="327">
        <f t="shared" si="8"/>
        <v>0</v>
      </c>
      <c r="AZ45" s="288">
        <f t="shared" si="4"/>
        <v>0</v>
      </c>
      <c r="BA45" s="288"/>
    </row>
    <row r="46" spans="1:53" s="246" customFormat="1" ht="15" x14ac:dyDescent="0.2">
      <c r="S46" s="387"/>
      <c r="AS46" s="288" t="str">
        <f t="shared" si="1"/>
        <v/>
      </c>
      <c r="AT46" s="326">
        <f t="shared" si="5"/>
        <v>0</v>
      </c>
      <c r="AU46" s="326"/>
      <c r="AV46" s="326">
        <f t="shared" si="2"/>
        <v>0</v>
      </c>
      <c r="AW46" s="326">
        <f t="shared" si="6"/>
        <v>0</v>
      </c>
      <c r="AX46" s="288">
        <f t="shared" si="7"/>
        <v>0</v>
      </c>
      <c r="AY46" s="327">
        <f t="shared" si="8"/>
        <v>0</v>
      </c>
      <c r="AZ46" s="288">
        <f t="shared" si="4"/>
        <v>0</v>
      </c>
      <c r="BA46" s="288"/>
    </row>
    <row r="47" spans="1:53" s="246" customFormat="1" ht="15" x14ac:dyDescent="0.2">
      <c r="S47" s="387"/>
      <c r="AS47" s="288" t="str">
        <f t="shared" si="1"/>
        <v/>
      </c>
      <c r="AT47" s="326">
        <f t="shared" si="5"/>
        <v>0</v>
      </c>
      <c r="AU47" s="326"/>
      <c r="AV47" s="326">
        <f t="shared" si="2"/>
        <v>0</v>
      </c>
      <c r="AW47" s="326">
        <f t="shared" si="6"/>
        <v>0</v>
      </c>
      <c r="AX47" s="288">
        <f t="shared" si="7"/>
        <v>0</v>
      </c>
      <c r="AY47" s="327">
        <f t="shared" si="8"/>
        <v>0</v>
      </c>
      <c r="AZ47" s="288">
        <f t="shared" si="4"/>
        <v>0</v>
      </c>
      <c r="BA47" s="288"/>
    </row>
    <row r="48" spans="1:53" s="246" customFormat="1" ht="15" x14ac:dyDescent="0.2">
      <c r="AS48" s="288" t="str">
        <f t="shared" si="1"/>
        <v/>
      </c>
      <c r="AT48" s="326">
        <f t="shared" si="5"/>
        <v>0</v>
      </c>
      <c r="AU48" s="326"/>
      <c r="AV48" s="326">
        <f t="shared" si="2"/>
        <v>0</v>
      </c>
      <c r="AW48" s="326">
        <f t="shared" si="6"/>
        <v>0</v>
      </c>
      <c r="AX48" s="288">
        <f t="shared" si="7"/>
        <v>0</v>
      </c>
      <c r="AY48" s="327">
        <f t="shared" si="8"/>
        <v>0</v>
      </c>
      <c r="AZ48" s="288">
        <f t="shared" si="4"/>
        <v>0</v>
      </c>
      <c r="BA48" s="288"/>
    </row>
    <row r="49" spans="45:53" s="246" customFormat="1" ht="15" x14ac:dyDescent="0.2">
      <c r="AS49" s="288" t="str">
        <f t="shared" si="1"/>
        <v/>
      </c>
      <c r="AT49" s="326">
        <f t="shared" si="5"/>
        <v>0</v>
      </c>
      <c r="AU49" s="326"/>
      <c r="AV49" s="326">
        <f t="shared" si="2"/>
        <v>0</v>
      </c>
      <c r="AW49" s="326">
        <f t="shared" si="6"/>
        <v>0</v>
      </c>
      <c r="AX49" s="288">
        <f t="shared" si="7"/>
        <v>0</v>
      </c>
      <c r="AY49" s="327">
        <f t="shared" si="8"/>
        <v>0</v>
      </c>
      <c r="AZ49" s="288">
        <f t="shared" si="4"/>
        <v>0</v>
      </c>
      <c r="BA49" s="288"/>
    </row>
    <row r="50" spans="45:53" s="246" customFormat="1" ht="15" x14ac:dyDescent="0.2">
      <c r="AS50" s="288" t="str">
        <f t="shared" si="1"/>
        <v/>
      </c>
      <c r="AT50" s="326">
        <f t="shared" si="5"/>
        <v>0</v>
      </c>
      <c r="AU50" s="326"/>
      <c r="AV50" s="326">
        <f t="shared" si="2"/>
        <v>0</v>
      </c>
      <c r="AW50" s="326">
        <f t="shared" si="6"/>
        <v>0</v>
      </c>
      <c r="AX50" s="288">
        <f t="shared" si="7"/>
        <v>0</v>
      </c>
      <c r="AY50" s="327">
        <f t="shared" si="8"/>
        <v>0</v>
      </c>
      <c r="AZ50" s="288">
        <f t="shared" si="4"/>
        <v>0</v>
      </c>
      <c r="BA50" s="288"/>
    </row>
    <row r="51" spans="45:53" s="246" customFormat="1" ht="15" x14ac:dyDescent="0.2">
      <c r="AS51" s="288" t="str">
        <f t="shared" si="1"/>
        <v/>
      </c>
      <c r="AT51" s="326">
        <f t="shared" si="5"/>
        <v>0</v>
      </c>
      <c r="AU51" s="326"/>
      <c r="AV51" s="326">
        <f t="shared" si="2"/>
        <v>0</v>
      </c>
      <c r="AW51" s="326">
        <f t="shared" si="6"/>
        <v>0</v>
      </c>
      <c r="AX51" s="288">
        <f t="shared" si="7"/>
        <v>0</v>
      </c>
      <c r="AY51" s="327">
        <f t="shared" si="8"/>
        <v>0</v>
      </c>
      <c r="AZ51" s="288">
        <f t="shared" si="4"/>
        <v>0</v>
      </c>
      <c r="BA51" s="288"/>
    </row>
    <row r="52" spans="45:53" s="246" customFormat="1" ht="15" x14ac:dyDescent="0.2">
      <c r="AS52" s="288" t="str">
        <f t="shared" si="1"/>
        <v/>
      </c>
      <c r="AT52" s="326">
        <f t="shared" si="5"/>
        <v>0</v>
      </c>
      <c r="AU52" s="326"/>
      <c r="AV52" s="326">
        <f t="shared" si="2"/>
        <v>0</v>
      </c>
      <c r="AW52" s="326">
        <f t="shared" si="6"/>
        <v>0</v>
      </c>
      <c r="AX52" s="288">
        <f t="shared" si="7"/>
        <v>0</v>
      </c>
      <c r="AY52" s="327">
        <f t="shared" si="8"/>
        <v>0</v>
      </c>
      <c r="AZ52" s="288">
        <f t="shared" si="4"/>
        <v>0</v>
      </c>
      <c r="BA52" s="288"/>
    </row>
    <row r="53" spans="45:53" s="246" customFormat="1" ht="15" x14ac:dyDescent="0.2">
      <c r="AS53" s="288" t="str">
        <f t="shared" si="1"/>
        <v/>
      </c>
      <c r="AT53" s="326">
        <f t="shared" si="5"/>
        <v>0</v>
      </c>
      <c r="AU53" s="326"/>
      <c r="AV53" s="326">
        <f t="shared" si="2"/>
        <v>0</v>
      </c>
      <c r="AW53" s="326">
        <f t="shared" si="6"/>
        <v>0</v>
      </c>
      <c r="AX53" s="288">
        <f t="shared" si="7"/>
        <v>0</v>
      </c>
      <c r="AY53" s="327">
        <f t="shared" si="8"/>
        <v>0</v>
      </c>
      <c r="AZ53" s="288">
        <f t="shared" si="4"/>
        <v>0</v>
      </c>
      <c r="BA53" s="288"/>
    </row>
    <row r="54" spans="45:53" s="246" customFormat="1" ht="15" x14ac:dyDescent="0.2">
      <c r="AS54" s="288" t="str">
        <f t="shared" si="1"/>
        <v/>
      </c>
      <c r="AT54" s="326">
        <f t="shared" si="5"/>
        <v>0</v>
      </c>
      <c r="AU54" s="326"/>
      <c r="AV54" s="326">
        <f t="shared" si="2"/>
        <v>0</v>
      </c>
      <c r="AW54" s="326">
        <f t="shared" si="6"/>
        <v>0</v>
      </c>
      <c r="AX54" s="288">
        <f t="shared" si="7"/>
        <v>0</v>
      </c>
      <c r="AY54" s="327">
        <f t="shared" si="8"/>
        <v>0</v>
      </c>
      <c r="AZ54" s="288">
        <f t="shared" si="4"/>
        <v>0</v>
      </c>
      <c r="BA54" s="288"/>
    </row>
    <row r="55" spans="45:53" s="246" customFormat="1" ht="15" x14ac:dyDescent="0.2">
      <c r="AS55" s="288" t="str">
        <f t="shared" si="1"/>
        <v/>
      </c>
      <c r="AT55" s="326">
        <f t="shared" si="5"/>
        <v>0</v>
      </c>
      <c r="AU55" s="326"/>
      <c r="AV55" s="326">
        <f t="shared" si="2"/>
        <v>0</v>
      </c>
      <c r="AW55" s="326">
        <f t="shared" si="6"/>
        <v>0</v>
      </c>
      <c r="AX55" s="288">
        <f t="shared" si="7"/>
        <v>0</v>
      </c>
      <c r="AY55" s="327">
        <f t="shared" si="8"/>
        <v>0</v>
      </c>
      <c r="AZ55" s="288">
        <f t="shared" si="4"/>
        <v>0</v>
      </c>
      <c r="BA55" s="288"/>
    </row>
    <row r="56" spans="45:53" s="246" customFormat="1" ht="15" x14ac:dyDescent="0.2">
      <c r="AS56" s="288" t="str">
        <f t="shared" si="1"/>
        <v/>
      </c>
      <c r="AT56" s="326">
        <f t="shared" si="5"/>
        <v>0</v>
      </c>
      <c r="AU56" s="326"/>
      <c r="AV56" s="326">
        <f t="shared" si="2"/>
        <v>0</v>
      </c>
      <c r="AW56" s="326">
        <f t="shared" si="6"/>
        <v>0</v>
      </c>
      <c r="AX56" s="288">
        <f t="shared" si="7"/>
        <v>0</v>
      </c>
      <c r="AY56" s="327">
        <f t="shared" si="8"/>
        <v>0</v>
      </c>
      <c r="AZ56" s="288">
        <f t="shared" si="4"/>
        <v>0</v>
      </c>
      <c r="BA56" s="288"/>
    </row>
    <row r="57" spans="45:53" s="246" customFormat="1" ht="15" x14ac:dyDescent="0.2">
      <c r="AS57" s="288" t="str">
        <f t="shared" si="1"/>
        <v/>
      </c>
      <c r="AT57" s="326">
        <f t="shared" si="5"/>
        <v>0</v>
      </c>
      <c r="AU57" s="326"/>
      <c r="AV57" s="326">
        <f t="shared" si="2"/>
        <v>0</v>
      </c>
      <c r="AW57" s="326">
        <f t="shared" si="6"/>
        <v>0</v>
      </c>
      <c r="AX57" s="288">
        <f t="shared" si="7"/>
        <v>0</v>
      </c>
      <c r="AY57" s="327">
        <f t="shared" si="8"/>
        <v>0</v>
      </c>
      <c r="AZ57" s="288">
        <f t="shared" si="4"/>
        <v>0</v>
      </c>
      <c r="BA57" s="288"/>
    </row>
    <row r="58" spans="45:53" s="246" customFormat="1" ht="15" x14ac:dyDescent="0.2">
      <c r="AS58" s="288" t="str">
        <f t="shared" si="1"/>
        <v/>
      </c>
      <c r="AT58" s="326">
        <f t="shared" si="5"/>
        <v>0</v>
      </c>
      <c r="AU58" s="326"/>
      <c r="AV58" s="326">
        <f t="shared" si="2"/>
        <v>0</v>
      </c>
      <c r="AW58" s="326">
        <f t="shared" si="6"/>
        <v>0</v>
      </c>
      <c r="AX58" s="288">
        <f t="shared" si="7"/>
        <v>0</v>
      </c>
      <c r="AY58" s="327">
        <f t="shared" si="8"/>
        <v>0</v>
      </c>
      <c r="AZ58" s="288">
        <f t="shared" si="4"/>
        <v>0</v>
      </c>
      <c r="BA58" s="288"/>
    </row>
    <row r="59" spans="45:53" s="246" customFormat="1" ht="15" x14ac:dyDescent="0.2">
      <c r="AS59" s="288" t="str">
        <f t="shared" si="1"/>
        <v/>
      </c>
      <c r="AT59" s="326">
        <f t="shared" si="5"/>
        <v>0</v>
      </c>
      <c r="AU59" s="326"/>
      <c r="AV59" s="326">
        <f t="shared" si="2"/>
        <v>0</v>
      </c>
      <c r="AW59" s="326">
        <f t="shared" si="6"/>
        <v>0</v>
      </c>
      <c r="AX59" s="288">
        <f t="shared" si="7"/>
        <v>0</v>
      </c>
      <c r="AY59" s="327">
        <f t="shared" si="8"/>
        <v>0</v>
      </c>
      <c r="AZ59" s="288">
        <f t="shared" si="4"/>
        <v>0</v>
      </c>
      <c r="BA59" s="288"/>
    </row>
    <row r="60" spans="45:53" s="246" customFormat="1" ht="15" x14ac:dyDescent="0.2">
      <c r="AS60" s="288" t="str">
        <f t="shared" si="1"/>
        <v/>
      </c>
      <c r="AT60" s="326">
        <f t="shared" si="5"/>
        <v>0</v>
      </c>
      <c r="AU60" s="326"/>
      <c r="AV60" s="326">
        <f t="shared" si="2"/>
        <v>0</v>
      </c>
      <c r="AW60" s="326">
        <f t="shared" si="6"/>
        <v>0</v>
      </c>
      <c r="AX60" s="288">
        <f t="shared" si="7"/>
        <v>0</v>
      </c>
      <c r="AY60" s="327">
        <f t="shared" si="8"/>
        <v>0</v>
      </c>
      <c r="AZ60" s="288">
        <f t="shared" si="4"/>
        <v>0</v>
      </c>
      <c r="BA60" s="288"/>
    </row>
    <row r="61" spans="45:53" s="246" customFormat="1" ht="15" x14ac:dyDescent="0.2">
      <c r="AS61" s="288" t="str">
        <f t="shared" si="1"/>
        <v/>
      </c>
      <c r="AT61" s="326">
        <f t="shared" si="5"/>
        <v>0</v>
      </c>
      <c r="AU61" s="326"/>
      <c r="AV61" s="326">
        <f t="shared" si="2"/>
        <v>0</v>
      </c>
      <c r="AW61" s="326">
        <f t="shared" si="6"/>
        <v>0</v>
      </c>
      <c r="AX61" s="288">
        <f t="shared" si="7"/>
        <v>0</v>
      </c>
      <c r="AY61" s="327">
        <f t="shared" si="8"/>
        <v>0</v>
      </c>
      <c r="AZ61" s="288">
        <f t="shared" si="4"/>
        <v>0</v>
      </c>
      <c r="BA61" s="288"/>
    </row>
    <row r="62" spans="45:53" s="246" customFormat="1" ht="15" x14ac:dyDescent="0.2">
      <c r="AS62" s="288" t="str">
        <f t="shared" si="1"/>
        <v/>
      </c>
      <c r="AT62" s="326">
        <f t="shared" si="5"/>
        <v>0</v>
      </c>
      <c r="AU62" s="326"/>
      <c r="AV62" s="326">
        <f t="shared" si="2"/>
        <v>0</v>
      </c>
      <c r="AW62" s="326">
        <f t="shared" si="6"/>
        <v>0</v>
      </c>
      <c r="AX62" s="288">
        <f t="shared" si="7"/>
        <v>0</v>
      </c>
      <c r="AY62" s="327">
        <f t="shared" si="8"/>
        <v>0</v>
      </c>
      <c r="AZ62" s="288">
        <f t="shared" si="4"/>
        <v>0</v>
      </c>
      <c r="BA62" s="288"/>
    </row>
    <row r="63" spans="45:53" s="246" customFormat="1" ht="15" x14ac:dyDescent="0.2">
      <c r="AS63" s="288" t="str">
        <f t="shared" si="1"/>
        <v/>
      </c>
      <c r="AT63" s="326">
        <f t="shared" si="5"/>
        <v>0</v>
      </c>
      <c r="AU63" s="326"/>
      <c r="AV63" s="326">
        <f t="shared" si="2"/>
        <v>0</v>
      </c>
      <c r="AW63" s="326">
        <f t="shared" si="6"/>
        <v>0</v>
      </c>
      <c r="AX63" s="288">
        <f t="shared" si="7"/>
        <v>0</v>
      </c>
      <c r="AY63" s="327">
        <f t="shared" si="8"/>
        <v>0</v>
      </c>
      <c r="AZ63" s="288">
        <f t="shared" si="4"/>
        <v>0</v>
      </c>
      <c r="BA63" s="288"/>
    </row>
    <row r="64" spans="45:53" s="246" customFormat="1" ht="15" x14ac:dyDescent="0.2">
      <c r="AS64" s="288" t="str">
        <f t="shared" si="1"/>
        <v/>
      </c>
      <c r="AT64" s="326">
        <f t="shared" si="5"/>
        <v>0</v>
      </c>
      <c r="AU64" s="326"/>
      <c r="AV64" s="326">
        <f t="shared" si="2"/>
        <v>0</v>
      </c>
      <c r="AW64" s="326">
        <f t="shared" si="6"/>
        <v>0</v>
      </c>
      <c r="AX64" s="288">
        <f t="shared" si="7"/>
        <v>0</v>
      </c>
      <c r="AY64" s="327">
        <f t="shared" si="8"/>
        <v>0</v>
      </c>
      <c r="AZ64" s="288">
        <f t="shared" si="4"/>
        <v>0</v>
      </c>
      <c r="BA64" s="288"/>
    </row>
    <row r="65" spans="45:53" s="246" customFormat="1" ht="15" x14ac:dyDescent="0.2">
      <c r="AS65" s="288" t="str">
        <f t="shared" si="1"/>
        <v/>
      </c>
      <c r="AT65" s="326">
        <f t="shared" si="5"/>
        <v>0</v>
      </c>
      <c r="AU65" s="326"/>
      <c r="AV65" s="326">
        <f t="shared" si="2"/>
        <v>0</v>
      </c>
      <c r="AW65" s="326">
        <f t="shared" si="6"/>
        <v>0</v>
      </c>
      <c r="AX65" s="288">
        <f t="shared" si="7"/>
        <v>0</v>
      </c>
      <c r="AY65" s="327">
        <f t="shared" si="8"/>
        <v>0</v>
      </c>
      <c r="AZ65" s="288">
        <f t="shared" si="4"/>
        <v>0</v>
      </c>
      <c r="BA65" s="288"/>
    </row>
    <row r="66" spans="45:53" s="246" customFormat="1" ht="15" x14ac:dyDescent="0.2">
      <c r="AS66" s="288" t="str">
        <f t="shared" si="1"/>
        <v/>
      </c>
      <c r="AT66" s="326">
        <f t="shared" si="5"/>
        <v>0</v>
      </c>
      <c r="AU66" s="326"/>
      <c r="AV66" s="326">
        <f t="shared" si="2"/>
        <v>0</v>
      </c>
      <c r="AW66" s="326">
        <f t="shared" si="6"/>
        <v>0</v>
      </c>
      <c r="AX66" s="288">
        <f t="shared" si="7"/>
        <v>0</v>
      </c>
      <c r="AY66" s="327">
        <f t="shared" si="8"/>
        <v>0</v>
      </c>
      <c r="AZ66" s="288">
        <f t="shared" si="4"/>
        <v>0</v>
      </c>
      <c r="BA66" s="288"/>
    </row>
    <row r="67" spans="45:53" s="246" customFormat="1" ht="15" x14ac:dyDescent="0.2">
      <c r="AS67" s="288" t="str">
        <f t="shared" si="1"/>
        <v/>
      </c>
      <c r="AT67" s="326">
        <f t="shared" si="5"/>
        <v>0</v>
      </c>
      <c r="AU67" s="326"/>
      <c r="AV67" s="326">
        <f t="shared" si="2"/>
        <v>0</v>
      </c>
      <c r="AW67" s="326">
        <f t="shared" si="6"/>
        <v>0</v>
      </c>
      <c r="AX67" s="288">
        <f t="shared" si="7"/>
        <v>0</v>
      </c>
      <c r="AY67" s="327">
        <f t="shared" si="8"/>
        <v>0</v>
      </c>
      <c r="AZ67" s="288">
        <f t="shared" si="4"/>
        <v>0</v>
      </c>
      <c r="BA67" s="288"/>
    </row>
    <row r="68" spans="45:53" s="246" customFormat="1" ht="15" x14ac:dyDescent="0.2">
      <c r="AS68" s="288" t="str">
        <f t="shared" si="1"/>
        <v/>
      </c>
      <c r="AT68" s="326">
        <f t="shared" si="5"/>
        <v>0</v>
      </c>
      <c r="AU68" s="326"/>
      <c r="AV68" s="326">
        <f t="shared" si="2"/>
        <v>0</v>
      </c>
      <c r="AW68" s="326">
        <f t="shared" si="6"/>
        <v>0</v>
      </c>
      <c r="AX68" s="288">
        <f t="shared" si="7"/>
        <v>0</v>
      </c>
      <c r="AY68" s="327">
        <f t="shared" si="8"/>
        <v>0</v>
      </c>
      <c r="AZ68" s="288">
        <f t="shared" si="4"/>
        <v>0</v>
      </c>
      <c r="BA68" s="288"/>
    </row>
    <row r="69" spans="45:53" s="246" customFormat="1" ht="15" x14ac:dyDescent="0.2">
      <c r="AS69" s="288" t="str">
        <f t="shared" ref="AS69:AS114" si="9">IF(AS68&lt;$D$14,AS68+1,"")</f>
        <v/>
      </c>
      <c r="AT69" s="326">
        <f t="shared" si="5"/>
        <v>0</v>
      </c>
      <c r="AU69" s="326"/>
      <c r="AV69" s="326">
        <f t="shared" si="2"/>
        <v>0</v>
      </c>
      <c r="AW69" s="326">
        <f t="shared" si="6"/>
        <v>0</v>
      </c>
      <c r="AX69" s="288">
        <f t="shared" si="7"/>
        <v>0</v>
      </c>
      <c r="AY69" s="327">
        <f t="shared" si="8"/>
        <v>0</v>
      </c>
      <c r="AZ69" s="288">
        <f t="shared" si="4"/>
        <v>0</v>
      </c>
      <c r="BA69" s="288"/>
    </row>
    <row r="70" spans="45:53" s="246" customFormat="1" ht="15" x14ac:dyDescent="0.2">
      <c r="AS70" s="288" t="str">
        <f t="shared" si="9"/>
        <v/>
      </c>
      <c r="AT70" s="326">
        <f t="shared" si="5"/>
        <v>0</v>
      </c>
      <c r="AU70" s="326"/>
      <c r="AV70" s="326">
        <f t="shared" si="2"/>
        <v>0</v>
      </c>
      <c r="AW70" s="326">
        <f t="shared" si="6"/>
        <v>0</v>
      </c>
      <c r="AX70" s="288">
        <f t="shared" si="7"/>
        <v>0</v>
      </c>
      <c r="AY70" s="327">
        <f t="shared" si="8"/>
        <v>0</v>
      </c>
      <c r="AZ70" s="288">
        <f t="shared" si="4"/>
        <v>0</v>
      </c>
      <c r="BA70" s="288"/>
    </row>
    <row r="71" spans="45:53" s="246" customFormat="1" ht="15" x14ac:dyDescent="0.2">
      <c r="AS71" s="288" t="str">
        <f t="shared" si="9"/>
        <v/>
      </c>
      <c r="AT71" s="326">
        <f t="shared" si="5"/>
        <v>0</v>
      </c>
      <c r="AU71" s="326"/>
      <c r="AV71" s="326">
        <f t="shared" si="2"/>
        <v>0</v>
      </c>
      <c r="AW71" s="326">
        <f t="shared" si="6"/>
        <v>0</v>
      </c>
      <c r="AX71" s="288">
        <f t="shared" si="7"/>
        <v>0</v>
      </c>
      <c r="AY71" s="327">
        <f t="shared" si="8"/>
        <v>0</v>
      </c>
      <c r="AZ71" s="288">
        <f t="shared" si="4"/>
        <v>0</v>
      </c>
      <c r="BA71" s="288"/>
    </row>
    <row r="72" spans="45:53" s="246" customFormat="1" ht="15" x14ac:dyDescent="0.2">
      <c r="AS72" s="288" t="str">
        <f t="shared" si="9"/>
        <v/>
      </c>
      <c r="AT72" s="326">
        <f t="shared" si="5"/>
        <v>0</v>
      </c>
      <c r="AU72" s="326"/>
      <c r="AV72" s="326">
        <f t="shared" ref="AV72:AV114" si="10">$D$10*AT72</f>
        <v>0</v>
      </c>
      <c r="AW72" s="326">
        <f t="shared" si="6"/>
        <v>0</v>
      </c>
      <c r="AX72" s="288">
        <f t="shared" si="7"/>
        <v>0</v>
      </c>
      <c r="AY72" s="327">
        <f t="shared" si="8"/>
        <v>0</v>
      </c>
      <c r="AZ72" s="288">
        <f t="shared" ref="AZ72:AZ114" si="11">IF(ISNUMBER(AS72),AY72/(1+$D$7)^AS72,0)</f>
        <v>0</v>
      </c>
      <c r="BA72" s="288"/>
    </row>
    <row r="73" spans="45:53" s="246" customFormat="1" ht="15" x14ac:dyDescent="0.2">
      <c r="AS73" s="288" t="str">
        <f t="shared" si="9"/>
        <v/>
      </c>
      <c r="AT73" s="326">
        <f t="shared" ref="AT73:AT114" si="12">IF(ISNUMBER(AS73),AW72,0)</f>
        <v>0</v>
      </c>
      <c r="AU73" s="326"/>
      <c r="AV73" s="326">
        <f t="shared" si="10"/>
        <v>0</v>
      </c>
      <c r="AW73" s="326">
        <f t="shared" ref="AW73:AW114" si="13">AT73</f>
        <v>0</v>
      </c>
      <c r="AX73" s="288">
        <f t="shared" si="7"/>
        <v>0</v>
      </c>
      <c r="AY73" s="327">
        <f t="shared" si="8"/>
        <v>0</v>
      </c>
      <c r="AZ73" s="288">
        <f t="shared" si="11"/>
        <v>0</v>
      </c>
      <c r="BA73" s="288"/>
    </row>
    <row r="74" spans="45:53" s="246" customFormat="1" ht="15" x14ac:dyDescent="0.2">
      <c r="AS74" s="288" t="str">
        <f t="shared" si="9"/>
        <v/>
      </c>
      <c r="AT74" s="326">
        <f t="shared" si="12"/>
        <v>0</v>
      </c>
      <c r="AU74" s="326"/>
      <c r="AV74" s="326">
        <f t="shared" si="10"/>
        <v>0</v>
      </c>
      <c r="AW74" s="326">
        <f t="shared" si="13"/>
        <v>0</v>
      </c>
      <c r="AX74" s="288">
        <f t="shared" si="7"/>
        <v>0</v>
      </c>
      <c r="AY74" s="327">
        <f t="shared" si="8"/>
        <v>0</v>
      </c>
      <c r="AZ74" s="288">
        <f t="shared" si="11"/>
        <v>0</v>
      </c>
      <c r="BA74" s="288"/>
    </row>
    <row r="75" spans="45:53" s="246" customFormat="1" ht="15" x14ac:dyDescent="0.2">
      <c r="AS75" s="288" t="str">
        <f t="shared" si="9"/>
        <v/>
      </c>
      <c r="AT75" s="326">
        <f t="shared" si="12"/>
        <v>0</v>
      </c>
      <c r="AU75" s="326"/>
      <c r="AV75" s="326">
        <f t="shared" si="10"/>
        <v>0</v>
      </c>
      <c r="AW75" s="326">
        <f t="shared" si="13"/>
        <v>0</v>
      </c>
      <c r="AX75" s="288">
        <f t="shared" si="7"/>
        <v>0</v>
      </c>
      <c r="AY75" s="327">
        <f t="shared" si="8"/>
        <v>0</v>
      </c>
      <c r="AZ75" s="288">
        <f t="shared" si="11"/>
        <v>0</v>
      </c>
      <c r="BA75" s="288"/>
    </row>
    <row r="76" spans="45:53" s="246" customFormat="1" ht="15" x14ac:dyDescent="0.2">
      <c r="AS76" s="288" t="str">
        <f t="shared" si="9"/>
        <v/>
      </c>
      <c r="AT76" s="326">
        <f t="shared" si="12"/>
        <v>0</v>
      </c>
      <c r="AU76" s="326"/>
      <c r="AV76" s="326">
        <f t="shared" si="10"/>
        <v>0</v>
      </c>
      <c r="AW76" s="326">
        <f t="shared" si="13"/>
        <v>0</v>
      </c>
      <c r="AX76" s="288">
        <f t="shared" si="7"/>
        <v>0</v>
      </c>
      <c r="AY76" s="327">
        <f t="shared" si="8"/>
        <v>0</v>
      </c>
      <c r="AZ76" s="288">
        <f t="shared" si="11"/>
        <v>0</v>
      </c>
      <c r="BA76" s="288"/>
    </row>
    <row r="77" spans="45:53" s="246" customFormat="1" ht="15" x14ac:dyDescent="0.2">
      <c r="AS77" s="288" t="str">
        <f t="shared" si="9"/>
        <v/>
      </c>
      <c r="AT77" s="326">
        <f t="shared" si="12"/>
        <v>0</v>
      </c>
      <c r="AU77" s="326"/>
      <c r="AV77" s="326">
        <f t="shared" si="10"/>
        <v>0</v>
      </c>
      <c r="AW77" s="326">
        <f t="shared" si="13"/>
        <v>0</v>
      </c>
      <c r="AX77" s="288">
        <f t="shared" si="7"/>
        <v>0</v>
      </c>
      <c r="AY77" s="327">
        <f t="shared" si="8"/>
        <v>0</v>
      </c>
      <c r="AZ77" s="288">
        <f t="shared" si="11"/>
        <v>0</v>
      </c>
      <c r="BA77" s="288"/>
    </row>
    <row r="78" spans="45:53" s="246" customFormat="1" ht="15" x14ac:dyDescent="0.2">
      <c r="AS78" s="288" t="str">
        <f t="shared" si="9"/>
        <v/>
      </c>
      <c r="AT78" s="326">
        <f t="shared" si="12"/>
        <v>0</v>
      </c>
      <c r="AU78" s="326"/>
      <c r="AV78" s="326">
        <f t="shared" si="10"/>
        <v>0</v>
      </c>
      <c r="AW78" s="326">
        <f t="shared" si="13"/>
        <v>0</v>
      </c>
      <c r="AX78" s="288">
        <f t="shared" si="7"/>
        <v>0</v>
      </c>
      <c r="AY78" s="327">
        <f t="shared" si="8"/>
        <v>0</v>
      </c>
      <c r="AZ78" s="288">
        <f t="shared" si="11"/>
        <v>0</v>
      </c>
      <c r="BA78" s="288"/>
    </row>
    <row r="79" spans="45:53" s="246" customFormat="1" ht="15" x14ac:dyDescent="0.2">
      <c r="AS79" s="288" t="str">
        <f t="shared" si="9"/>
        <v/>
      </c>
      <c r="AT79" s="326">
        <f t="shared" si="12"/>
        <v>0</v>
      </c>
      <c r="AU79" s="326"/>
      <c r="AV79" s="326">
        <f t="shared" si="10"/>
        <v>0</v>
      </c>
      <c r="AW79" s="326">
        <f t="shared" si="13"/>
        <v>0</v>
      </c>
      <c r="AX79" s="288">
        <f t="shared" si="7"/>
        <v>0</v>
      </c>
      <c r="AY79" s="327">
        <f t="shared" si="8"/>
        <v>0</v>
      </c>
      <c r="AZ79" s="288">
        <f t="shared" si="11"/>
        <v>0</v>
      </c>
      <c r="BA79" s="288"/>
    </row>
    <row r="80" spans="45:53" s="246" customFormat="1" ht="15" x14ac:dyDescent="0.2">
      <c r="AS80" s="288" t="str">
        <f t="shared" si="9"/>
        <v/>
      </c>
      <c r="AT80" s="326">
        <f t="shared" si="12"/>
        <v>0</v>
      </c>
      <c r="AU80" s="326"/>
      <c r="AV80" s="326">
        <f t="shared" si="10"/>
        <v>0</v>
      </c>
      <c r="AW80" s="326">
        <f t="shared" si="13"/>
        <v>0</v>
      </c>
      <c r="AX80" s="288">
        <f t="shared" si="7"/>
        <v>0</v>
      </c>
      <c r="AY80" s="327">
        <f t="shared" si="8"/>
        <v>0</v>
      </c>
      <c r="AZ80" s="288">
        <f t="shared" si="11"/>
        <v>0</v>
      </c>
      <c r="BA80" s="288"/>
    </row>
    <row r="81" spans="45:53" s="246" customFormat="1" ht="15" x14ac:dyDescent="0.2">
      <c r="AS81" s="288" t="str">
        <f t="shared" si="9"/>
        <v/>
      </c>
      <c r="AT81" s="326">
        <f t="shared" si="12"/>
        <v>0</v>
      </c>
      <c r="AU81" s="326"/>
      <c r="AV81" s="326">
        <f t="shared" si="10"/>
        <v>0</v>
      </c>
      <c r="AW81" s="326">
        <f t="shared" si="13"/>
        <v>0</v>
      </c>
      <c r="AX81" s="288">
        <f t="shared" si="7"/>
        <v>0</v>
      </c>
      <c r="AY81" s="327">
        <f t="shared" si="8"/>
        <v>0</v>
      </c>
      <c r="AZ81" s="288">
        <f t="shared" si="11"/>
        <v>0</v>
      </c>
      <c r="BA81" s="288"/>
    </row>
    <row r="82" spans="45:53" s="246" customFormat="1" ht="15" x14ac:dyDescent="0.2">
      <c r="AS82" s="288" t="str">
        <f t="shared" si="9"/>
        <v/>
      </c>
      <c r="AT82" s="326">
        <f t="shared" si="12"/>
        <v>0</v>
      </c>
      <c r="AU82" s="326"/>
      <c r="AV82" s="326">
        <f t="shared" si="10"/>
        <v>0</v>
      </c>
      <c r="AW82" s="326">
        <f t="shared" si="13"/>
        <v>0</v>
      </c>
      <c r="AX82" s="288">
        <f t="shared" ref="AX82:AX114" si="14">IF(ISNUMBER(AS83),SUM(AU82:AV82),SUM(AU82:AW82))</f>
        <v>0</v>
      </c>
      <c r="AY82" s="327">
        <f t="shared" si="8"/>
        <v>0</v>
      </c>
      <c r="AZ82" s="288">
        <f t="shared" si="11"/>
        <v>0</v>
      </c>
      <c r="BA82" s="288"/>
    </row>
    <row r="83" spans="45:53" s="246" customFormat="1" ht="15" x14ac:dyDescent="0.2">
      <c r="AS83" s="288" t="str">
        <f t="shared" si="9"/>
        <v/>
      </c>
      <c r="AT83" s="326">
        <f t="shared" si="12"/>
        <v>0</v>
      </c>
      <c r="AU83" s="326"/>
      <c r="AV83" s="326">
        <f t="shared" si="10"/>
        <v>0</v>
      </c>
      <c r="AW83" s="326">
        <f t="shared" si="13"/>
        <v>0</v>
      </c>
      <c r="AX83" s="288">
        <f t="shared" si="14"/>
        <v>0</v>
      </c>
      <c r="AY83" s="327">
        <f t="shared" si="8"/>
        <v>0</v>
      </c>
      <c r="AZ83" s="288">
        <f t="shared" si="11"/>
        <v>0</v>
      </c>
      <c r="BA83" s="288"/>
    </row>
    <row r="84" spans="45:53" s="246" customFormat="1" ht="15" x14ac:dyDescent="0.2">
      <c r="AS84" s="288" t="str">
        <f t="shared" si="9"/>
        <v/>
      </c>
      <c r="AT84" s="326">
        <f t="shared" si="12"/>
        <v>0</v>
      </c>
      <c r="AU84" s="326"/>
      <c r="AV84" s="326">
        <f t="shared" si="10"/>
        <v>0</v>
      </c>
      <c r="AW84" s="326">
        <f t="shared" si="13"/>
        <v>0</v>
      </c>
      <c r="AX84" s="288">
        <f t="shared" si="14"/>
        <v>0</v>
      </c>
      <c r="AY84" s="327">
        <f t="shared" si="8"/>
        <v>0</v>
      </c>
      <c r="AZ84" s="288">
        <f t="shared" si="11"/>
        <v>0</v>
      </c>
      <c r="BA84" s="288"/>
    </row>
    <row r="85" spans="45:53" s="246" customFormat="1" ht="15" x14ac:dyDescent="0.2">
      <c r="AS85" s="288" t="str">
        <f t="shared" si="9"/>
        <v/>
      </c>
      <c r="AT85" s="326">
        <f t="shared" si="12"/>
        <v>0</v>
      </c>
      <c r="AU85" s="326"/>
      <c r="AV85" s="326">
        <f t="shared" si="10"/>
        <v>0</v>
      </c>
      <c r="AW85" s="326">
        <f t="shared" si="13"/>
        <v>0</v>
      </c>
      <c r="AX85" s="288">
        <f t="shared" si="14"/>
        <v>0</v>
      </c>
      <c r="AY85" s="327">
        <f t="shared" si="8"/>
        <v>0</v>
      </c>
      <c r="AZ85" s="288">
        <f t="shared" si="11"/>
        <v>0</v>
      </c>
      <c r="BA85" s="288"/>
    </row>
    <row r="86" spans="45:53" s="246" customFormat="1" ht="15" x14ac:dyDescent="0.2">
      <c r="AS86" s="288" t="str">
        <f t="shared" si="9"/>
        <v/>
      </c>
      <c r="AT86" s="326">
        <f t="shared" si="12"/>
        <v>0</v>
      </c>
      <c r="AU86" s="326"/>
      <c r="AV86" s="326">
        <f t="shared" si="10"/>
        <v>0</v>
      </c>
      <c r="AW86" s="326">
        <f t="shared" si="13"/>
        <v>0</v>
      </c>
      <c r="AX86" s="288">
        <f t="shared" si="14"/>
        <v>0</v>
      </c>
      <c r="AY86" s="327">
        <f t="shared" si="8"/>
        <v>0</v>
      </c>
      <c r="AZ86" s="288">
        <f t="shared" si="11"/>
        <v>0</v>
      </c>
      <c r="BA86" s="288"/>
    </row>
    <row r="87" spans="45:53" s="246" customFormat="1" ht="15" x14ac:dyDescent="0.2">
      <c r="AS87" s="288" t="str">
        <f t="shared" si="9"/>
        <v/>
      </c>
      <c r="AT87" s="326">
        <f t="shared" si="12"/>
        <v>0</v>
      </c>
      <c r="AU87" s="326"/>
      <c r="AV87" s="326">
        <f t="shared" si="10"/>
        <v>0</v>
      </c>
      <c r="AW87" s="326">
        <f t="shared" si="13"/>
        <v>0</v>
      </c>
      <c r="AX87" s="288">
        <f t="shared" si="14"/>
        <v>0</v>
      </c>
      <c r="AY87" s="327">
        <f t="shared" si="8"/>
        <v>0</v>
      </c>
      <c r="AZ87" s="288">
        <f t="shared" si="11"/>
        <v>0</v>
      </c>
      <c r="BA87" s="288"/>
    </row>
    <row r="88" spans="45:53" s="246" customFormat="1" ht="15" x14ac:dyDescent="0.2">
      <c r="AS88" s="288" t="str">
        <f t="shared" si="9"/>
        <v/>
      </c>
      <c r="AT88" s="326">
        <f t="shared" si="12"/>
        <v>0</v>
      </c>
      <c r="AU88" s="326"/>
      <c r="AV88" s="326">
        <f t="shared" si="10"/>
        <v>0</v>
      </c>
      <c r="AW88" s="326">
        <f t="shared" si="13"/>
        <v>0</v>
      </c>
      <c r="AX88" s="288">
        <f t="shared" si="14"/>
        <v>0</v>
      </c>
      <c r="AY88" s="327">
        <f t="shared" si="8"/>
        <v>0</v>
      </c>
      <c r="AZ88" s="288">
        <f t="shared" si="11"/>
        <v>0</v>
      </c>
      <c r="BA88" s="288"/>
    </row>
    <row r="89" spans="45:53" s="246" customFormat="1" ht="15" x14ac:dyDescent="0.2">
      <c r="AS89" s="288" t="str">
        <f t="shared" si="9"/>
        <v/>
      </c>
      <c r="AT89" s="326">
        <f t="shared" si="12"/>
        <v>0</v>
      </c>
      <c r="AU89" s="326"/>
      <c r="AV89" s="326">
        <f t="shared" si="10"/>
        <v>0</v>
      </c>
      <c r="AW89" s="326">
        <f t="shared" si="13"/>
        <v>0</v>
      </c>
      <c r="AX89" s="288">
        <f t="shared" si="14"/>
        <v>0</v>
      </c>
      <c r="AY89" s="327">
        <f t="shared" si="8"/>
        <v>0</v>
      </c>
      <c r="AZ89" s="288">
        <f t="shared" si="11"/>
        <v>0</v>
      </c>
      <c r="BA89" s="288"/>
    </row>
    <row r="90" spans="45:53" s="246" customFormat="1" ht="15" x14ac:dyDescent="0.2">
      <c r="AS90" s="288" t="str">
        <f t="shared" si="9"/>
        <v/>
      </c>
      <c r="AT90" s="326">
        <f t="shared" si="12"/>
        <v>0</v>
      </c>
      <c r="AU90" s="326"/>
      <c r="AV90" s="326">
        <f t="shared" si="10"/>
        <v>0</v>
      </c>
      <c r="AW90" s="326">
        <f t="shared" si="13"/>
        <v>0</v>
      </c>
      <c r="AX90" s="288">
        <f t="shared" si="14"/>
        <v>0</v>
      </c>
      <c r="AY90" s="327">
        <f t="shared" si="8"/>
        <v>0</v>
      </c>
      <c r="AZ90" s="288">
        <f t="shared" si="11"/>
        <v>0</v>
      </c>
      <c r="BA90" s="288"/>
    </row>
    <row r="91" spans="45:53" s="246" customFormat="1" ht="15" x14ac:dyDescent="0.2">
      <c r="AS91" s="288" t="str">
        <f t="shared" si="9"/>
        <v/>
      </c>
      <c r="AT91" s="326">
        <f t="shared" si="12"/>
        <v>0</v>
      </c>
      <c r="AU91" s="326"/>
      <c r="AV91" s="326">
        <f t="shared" si="10"/>
        <v>0</v>
      </c>
      <c r="AW91" s="326">
        <f t="shared" si="13"/>
        <v>0</v>
      </c>
      <c r="AX91" s="288">
        <f t="shared" si="14"/>
        <v>0</v>
      </c>
      <c r="AY91" s="327">
        <f t="shared" si="8"/>
        <v>0</v>
      </c>
      <c r="AZ91" s="288">
        <f t="shared" si="11"/>
        <v>0</v>
      </c>
      <c r="BA91" s="288"/>
    </row>
    <row r="92" spans="45:53" s="246" customFormat="1" ht="15" x14ac:dyDescent="0.2">
      <c r="AS92" s="288" t="str">
        <f t="shared" si="9"/>
        <v/>
      </c>
      <c r="AT92" s="326">
        <f t="shared" si="12"/>
        <v>0</v>
      </c>
      <c r="AU92" s="326"/>
      <c r="AV92" s="326">
        <f t="shared" si="10"/>
        <v>0</v>
      </c>
      <c r="AW92" s="326">
        <f t="shared" si="13"/>
        <v>0</v>
      </c>
      <c r="AX92" s="288">
        <f t="shared" si="14"/>
        <v>0</v>
      </c>
      <c r="AY92" s="327">
        <f t="shared" si="8"/>
        <v>0</v>
      </c>
      <c r="AZ92" s="288">
        <f t="shared" si="11"/>
        <v>0</v>
      </c>
      <c r="BA92" s="288"/>
    </row>
    <row r="93" spans="45:53" s="246" customFormat="1" ht="15" x14ac:dyDescent="0.2">
      <c r="AS93" s="288" t="str">
        <f t="shared" si="9"/>
        <v/>
      </c>
      <c r="AT93" s="326">
        <f t="shared" si="12"/>
        <v>0</v>
      </c>
      <c r="AU93" s="326"/>
      <c r="AV93" s="326">
        <f t="shared" si="10"/>
        <v>0</v>
      </c>
      <c r="AW93" s="326">
        <f t="shared" si="13"/>
        <v>0</v>
      </c>
      <c r="AX93" s="288">
        <f t="shared" si="14"/>
        <v>0</v>
      </c>
      <c r="AY93" s="327">
        <f t="shared" si="8"/>
        <v>0</v>
      </c>
      <c r="AZ93" s="288">
        <f t="shared" si="11"/>
        <v>0</v>
      </c>
      <c r="BA93" s="288"/>
    </row>
    <row r="94" spans="45:53" s="246" customFormat="1" ht="15" x14ac:dyDescent="0.2">
      <c r="AS94" s="288" t="str">
        <f t="shared" si="9"/>
        <v/>
      </c>
      <c r="AT94" s="326">
        <f t="shared" si="12"/>
        <v>0</v>
      </c>
      <c r="AU94" s="326"/>
      <c r="AV94" s="326">
        <f t="shared" si="10"/>
        <v>0</v>
      </c>
      <c r="AW94" s="326">
        <f t="shared" si="13"/>
        <v>0</v>
      </c>
      <c r="AX94" s="288">
        <f t="shared" si="14"/>
        <v>0</v>
      </c>
      <c r="AY94" s="327">
        <f t="shared" si="8"/>
        <v>0</v>
      </c>
      <c r="AZ94" s="288">
        <f t="shared" si="11"/>
        <v>0</v>
      </c>
      <c r="BA94" s="288"/>
    </row>
    <row r="95" spans="45:53" s="246" customFormat="1" ht="15" x14ac:dyDescent="0.2">
      <c r="AS95" s="288" t="str">
        <f t="shared" si="9"/>
        <v/>
      </c>
      <c r="AT95" s="326">
        <f t="shared" si="12"/>
        <v>0</v>
      </c>
      <c r="AU95" s="326"/>
      <c r="AV95" s="326">
        <f t="shared" si="10"/>
        <v>0</v>
      </c>
      <c r="AW95" s="326">
        <f t="shared" si="13"/>
        <v>0</v>
      </c>
      <c r="AX95" s="288">
        <f t="shared" si="14"/>
        <v>0</v>
      </c>
      <c r="AY95" s="327">
        <f t="shared" si="8"/>
        <v>0</v>
      </c>
      <c r="AZ95" s="288">
        <f t="shared" si="11"/>
        <v>0</v>
      </c>
      <c r="BA95" s="288"/>
    </row>
    <row r="96" spans="45:53" s="246" customFormat="1" ht="15" x14ac:dyDescent="0.2">
      <c r="AS96" s="288" t="str">
        <f t="shared" si="9"/>
        <v/>
      </c>
      <c r="AT96" s="326">
        <f t="shared" si="12"/>
        <v>0</v>
      </c>
      <c r="AU96" s="326"/>
      <c r="AV96" s="326">
        <f t="shared" si="10"/>
        <v>0</v>
      </c>
      <c r="AW96" s="326">
        <f t="shared" si="13"/>
        <v>0</v>
      </c>
      <c r="AX96" s="288">
        <f t="shared" si="14"/>
        <v>0</v>
      </c>
      <c r="AY96" s="327">
        <f t="shared" si="8"/>
        <v>0</v>
      </c>
      <c r="AZ96" s="288">
        <f t="shared" si="11"/>
        <v>0</v>
      </c>
      <c r="BA96" s="288"/>
    </row>
    <row r="97" spans="45:53" s="246" customFormat="1" ht="15" x14ac:dyDescent="0.2">
      <c r="AS97" s="288" t="str">
        <f t="shared" si="9"/>
        <v/>
      </c>
      <c r="AT97" s="326">
        <f t="shared" si="12"/>
        <v>0</v>
      </c>
      <c r="AU97" s="326"/>
      <c r="AV97" s="326">
        <f t="shared" si="10"/>
        <v>0</v>
      </c>
      <c r="AW97" s="326">
        <f t="shared" si="13"/>
        <v>0</v>
      </c>
      <c r="AX97" s="288">
        <f t="shared" si="14"/>
        <v>0</v>
      </c>
      <c r="AY97" s="327">
        <f t="shared" si="8"/>
        <v>0</v>
      </c>
      <c r="AZ97" s="288">
        <f t="shared" si="11"/>
        <v>0</v>
      </c>
      <c r="BA97" s="288"/>
    </row>
    <row r="98" spans="45:53" s="246" customFormat="1" ht="15" x14ac:dyDescent="0.2">
      <c r="AS98" s="288" t="str">
        <f t="shared" si="9"/>
        <v/>
      </c>
      <c r="AT98" s="326">
        <f t="shared" si="12"/>
        <v>0</v>
      </c>
      <c r="AU98" s="326"/>
      <c r="AV98" s="326">
        <f t="shared" si="10"/>
        <v>0</v>
      </c>
      <c r="AW98" s="326">
        <f t="shared" si="13"/>
        <v>0</v>
      </c>
      <c r="AX98" s="288">
        <f t="shared" si="14"/>
        <v>0</v>
      </c>
      <c r="AY98" s="327">
        <f t="shared" si="8"/>
        <v>0</v>
      </c>
      <c r="AZ98" s="288">
        <f t="shared" si="11"/>
        <v>0</v>
      </c>
      <c r="BA98" s="288"/>
    </row>
    <row r="99" spans="45:53" s="246" customFormat="1" ht="15" x14ac:dyDescent="0.2">
      <c r="AS99" s="288" t="str">
        <f t="shared" si="9"/>
        <v/>
      </c>
      <c r="AT99" s="326">
        <f t="shared" si="12"/>
        <v>0</v>
      </c>
      <c r="AU99" s="326"/>
      <c r="AV99" s="326">
        <f t="shared" si="10"/>
        <v>0</v>
      </c>
      <c r="AW99" s="326">
        <f t="shared" si="13"/>
        <v>0</v>
      </c>
      <c r="AX99" s="288">
        <f t="shared" si="14"/>
        <v>0</v>
      </c>
      <c r="AY99" s="327">
        <f t="shared" si="8"/>
        <v>0</v>
      </c>
      <c r="AZ99" s="288">
        <f t="shared" si="11"/>
        <v>0</v>
      </c>
      <c r="BA99" s="288"/>
    </row>
    <row r="100" spans="45:53" s="246" customFormat="1" ht="15" x14ac:dyDescent="0.2">
      <c r="AS100" s="288" t="str">
        <f t="shared" si="9"/>
        <v/>
      </c>
      <c r="AT100" s="326">
        <f t="shared" si="12"/>
        <v>0</v>
      </c>
      <c r="AU100" s="326"/>
      <c r="AV100" s="326">
        <f t="shared" si="10"/>
        <v>0</v>
      </c>
      <c r="AW100" s="326">
        <f t="shared" si="13"/>
        <v>0</v>
      </c>
      <c r="AX100" s="288">
        <f t="shared" si="14"/>
        <v>0</v>
      </c>
      <c r="AY100" s="327">
        <f t="shared" si="8"/>
        <v>0</v>
      </c>
      <c r="AZ100" s="288">
        <f t="shared" si="11"/>
        <v>0</v>
      </c>
      <c r="BA100" s="288"/>
    </row>
    <row r="101" spans="45:53" s="246" customFormat="1" ht="15" x14ac:dyDescent="0.2">
      <c r="AS101" s="288" t="str">
        <f t="shared" si="9"/>
        <v/>
      </c>
      <c r="AT101" s="326">
        <f t="shared" si="12"/>
        <v>0</v>
      </c>
      <c r="AU101" s="326"/>
      <c r="AV101" s="326">
        <f t="shared" si="10"/>
        <v>0</v>
      </c>
      <c r="AW101" s="326">
        <f t="shared" si="13"/>
        <v>0</v>
      </c>
      <c r="AX101" s="288">
        <f t="shared" si="14"/>
        <v>0</v>
      </c>
      <c r="AY101" s="327">
        <f t="shared" si="8"/>
        <v>0</v>
      </c>
      <c r="AZ101" s="288">
        <f t="shared" si="11"/>
        <v>0</v>
      </c>
      <c r="BA101" s="288"/>
    </row>
    <row r="102" spans="45:53" s="246" customFormat="1" ht="15" x14ac:dyDescent="0.2">
      <c r="AS102" s="288" t="str">
        <f t="shared" si="9"/>
        <v/>
      </c>
      <c r="AT102" s="326">
        <f t="shared" si="12"/>
        <v>0</v>
      </c>
      <c r="AU102" s="326"/>
      <c r="AV102" s="326">
        <f t="shared" si="10"/>
        <v>0</v>
      </c>
      <c r="AW102" s="326">
        <f t="shared" si="13"/>
        <v>0</v>
      </c>
      <c r="AX102" s="288">
        <f t="shared" si="14"/>
        <v>0</v>
      </c>
      <c r="AY102" s="327">
        <f t="shared" si="8"/>
        <v>0</v>
      </c>
      <c r="AZ102" s="288">
        <f t="shared" si="11"/>
        <v>0</v>
      </c>
      <c r="BA102" s="288"/>
    </row>
    <row r="103" spans="45:53" s="246" customFormat="1" ht="15" x14ac:dyDescent="0.2">
      <c r="AS103" s="288" t="str">
        <f t="shared" si="9"/>
        <v/>
      </c>
      <c r="AT103" s="326">
        <f t="shared" si="12"/>
        <v>0</v>
      </c>
      <c r="AU103" s="326"/>
      <c r="AV103" s="326">
        <f t="shared" si="10"/>
        <v>0</v>
      </c>
      <c r="AW103" s="326">
        <f t="shared" si="13"/>
        <v>0</v>
      </c>
      <c r="AX103" s="288">
        <f t="shared" si="14"/>
        <v>0</v>
      </c>
      <c r="AY103" s="327">
        <f t="shared" ref="AY103:AY114" si="15">LN(AX103+$J$37)-LN($J$37)</f>
        <v>0</v>
      </c>
      <c r="AZ103" s="288">
        <f t="shared" si="11"/>
        <v>0</v>
      </c>
      <c r="BA103" s="288"/>
    </row>
    <row r="104" spans="45:53" s="246" customFormat="1" ht="15" x14ac:dyDescent="0.2">
      <c r="AS104" s="288" t="str">
        <f t="shared" si="9"/>
        <v/>
      </c>
      <c r="AT104" s="326">
        <f t="shared" si="12"/>
        <v>0</v>
      </c>
      <c r="AU104" s="326"/>
      <c r="AV104" s="326">
        <f t="shared" si="10"/>
        <v>0</v>
      </c>
      <c r="AW104" s="326">
        <f t="shared" si="13"/>
        <v>0</v>
      </c>
      <c r="AX104" s="288">
        <f t="shared" si="14"/>
        <v>0</v>
      </c>
      <c r="AY104" s="327">
        <f t="shared" si="15"/>
        <v>0</v>
      </c>
      <c r="AZ104" s="288">
        <f t="shared" si="11"/>
        <v>0</v>
      </c>
      <c r="BA104" s="288"/>
    </row>
    <row r="105" spans="45:53" s="246" customFormat="1" ht="15" x14ac:dyDescent="0.2">
      <c r="AS105" s="288" t="str">
        <f t="shared" si="9"/>
        <v/>
      </c>
      <c r="AT105" s="326">
        <f t="shared" si="12"/>
        <v>0</v>
      </c>
      <c r="AU105" s="326"/>
      <c r="AV105" s="326">
        <f t="shared" si="10"/>
        <v>0</v>
      </c>
      <c r="AW105" s="326">
        <f t="shared" si="13"/>
        <v>0</v>
      </c>
      <c r="AX105" s="288">
        <f t="shared" si="14"/>
        <v>0</v>
      </c>
      <c r="AY105" s="327">
        <f t="shared" si="15"/>
        <v>0</v>
      </c>
      <c r="AZ105" s="288">
        <f t="shared" si="11"/>
        <v>0</v>
      </c>
      <c r="BA105" s="288"/>
    </row>
    <row r="106" spans="45:53" s="246" customFormat="1" ht="15" x14ac:dyDescent="0.2">
      <c r="AS106" s="288" t="str">
        <f t="shared" si="9"/>
        <v/>
      </c>
      <c r="AT106" s="326">
        <f t="shared" si="12"/>
        <v>0</v>
      </c>
      <c r="AU106" s="326"/>
      <c r="AV106" s="326">
        <f t="shared" si="10"/>
        <v>0</v>
      </c>
      <c r="AW106" s="326">
        <f t="shared" si="13"/>
        <v>0</v>
      </c>
      <c r="AX106" s="288">
        <f t="shared" si="14"/>
        <v>0</v>
      </c>
      <c r="AY106" s="327">
        <f t="shared" si="15"/>
        <v>0</v>
      </c>
      <c r="AZ106" s="288">
        <f t="shared" si="11"/>
        <v>0</v>
      </c>
      <c r="BA106" s="288"/>
    </row>
    <row r="107" spans="45:53" s="246" customFormat="1" ht="15" x14ac:dyDescent="0.2">
      <c r="AS107" s="288" t="str">
        <f t="shared" si="9"/>
        <v/>
      </c>
      <c r="AT107" s="326">
        <f t="shared" si="12"/>
        <v>0</v>
      </c>
      <c r="AU107" s="326"/>
      <c r="AV107" s="326">
        <f t="shared" si="10"/>
        <v>0</v>
      </c>
      <c r="AW107" s="326">
        <f t="shared" si="13"/>
        <v>0</v>
      </c>
      <c r="AX107" s="288">
        <f t="shared" si="14"/>
        <v>0</v>
      </c>
      <c r="AY107" s="327">
        <f t="shared" si="15"/>
        <v>0</v>
      </c>
      <c r="AZ107" s="288">
        <f t="shared" si="11"/>
        <v>0</v>
      </c>
      <c r="BA107" s="288"/>
    </row>
    <row r="108" spans="45:53" s="246" customFormat="1" ht="15" x14ac:dyDescent="0.2">
      <c r="AS108" s="288" t="str">
        <f t="shared" si="9"/>
        <v/>
      </c>
      <c r="AT108" s="326">
        <f t="shared" si="12"/>
        <v>0</v>
      </c>
      <c r="AU108" s="326"/>
      <c r="AV108" s="326">
        <f t="shared" si="10"/>
        <v>0</v>
      </c>
      <c r="AW108" s="326">
        <f t="shared" si="13"/>
        <v>0</v>
      </c>
      <c r="AX108" s="288">
        <f t="shared" si="14"/>
        <v>0</v>
      </c>
      <c r="AY108" s="327">
        <f t="shared" si="15"/>
        <v>0</v>
      </c>
      <c r="AZ108" s="288">
        <f t="shared" si="11"/>
        <v>0</v>
      </c>
      <c r="BA108" s="288"/>
    </row>
    <row r="109" spans="45:53" s="246" customFormat="1" ht="15" x14ac:dyDescent="0.2">
      <c r="AS109" s="288" t="str">
        <f t="shared" si="9"/>
        <v/>
      </c>
      <c r="AT109" s="326">
        <f t="shared" si="12"/>
        <v>0</v>
      </c>
      <c r="AU109" s="326"/>
      <c r="AV109" s="326">
        <f t="shared" si="10"/>
        <v>0</v>
      </c>
      <c r="AW109" s="326">
        <f t="shared" si="13"/>
        <v>0</v>
      </c>
      <c r="AX109" s="288">
        <f t="shared" si="14"/>
        <v>0</v>
      </c>
      <c r="AY109" s="327">
        <f t="shared" si="15"/>
        <v>0</v>
      </c>
      <c r="AZ109" s="288">
        <f t="shared" si="11"/>
        <v>0</v>
      </c>
      <c r="BA109" s="288"/>
    </row>
    <row r="110" spans="45:53" s="246" customFormat="1" ht="15" x14ac:dyDescent="0.2">
      <c r="AS110" s="288" t="str">
        <f t="shared" si="9"/>
        <v/>
      </c>
      <c r="AT110" s="326">
        <f t="shared" si="12"/>
        <v>0</v>
      </c>
      <c r="AU110" s="326"/>
      <c r="AV110" s="326">
        <f t="shared" si="10"/>
        <v>0</v>
      </c>
      <c r="AW110" s="326">
        <f t="shared" si="13"/>
        <v>0</v>
      </c>
      <c r="AX110" s="288">
        <f t="shared" si="14"/>
        <v>0</v>
      </c>
      <c r="AY110" s="327">
        <f t="shared" si="15"/>
        <v>0</v>
      </c>
      <c r="AZ110" s="288">
        <f t="shared" si="11"/>
        <v>0</v>
      </c>
      <c r="BA110" s="288"/>
    </row>
    <row r="111" spans="45:53" s="246" customFormat="1" ht="15" x14ac:dyDescent="0.2">
      <c r="AS111" s="288" t="str">
        <f t="shared" si="9"/>
        <v/>
      </c>
      <c r="AT111" s="326">
        <f t="shared" si="12"/>
        <v>0</v>
      </c>
      <c r="AU111" s="326"/>
      <c r="AV111" s="326">
        <f t="shared" si="10"/>
        <v>0</v>
      </c>
      <c r="AW111" s="326">
        <f t="shared" si="13"/>
        <v>0</v>
      </c>
      <c r="AX111" s="288">
        <f t="shared" si="14"/>
        <v>0</v>
      </c>
      <c r="AY111" s="327">
        <f t="shared" si="15"/>
        <v>0</v>
      </c>
      <c r="AZ111" s="288">
        <f t="shared" si="11"/>
        <v>0</v>
      </c>
      <c r="BA111" s="288"/>
    </row>
    <row r="112" spans="45:53" s="246" customFormat="1" ht="15" x14ac:dyDescent="0.2">
      <c r="AS112" s="288" t="str">
        <f t="shared" si="9"/>
        <v/>
      </c>
      <c r="AT112" s="326">
        <f t="shared" si="12"/>
        <v>0</v>
      </c>
      <c r="AU112" s="326"/>
      <c r="AV112" s="326">
        <f t="shared" si="10"/>
        <v>0</v>
      </c>
      <c r="AW112" s="326">
        <f t="shared" si="13"/>
        <v>0</v>
      </c>
      <c r="AX112" s="288">
        <f t="shared" si="14"/>
        <v>0</v>
      </c>
      <c r="AY112" s="327">
        <f t="shared" si="15"/>
        <v>0</v>
      </c>
      <c r="AZ112" s="288">
        <f t="shared" si="11"/>
        <v>0</v>
      </c>
      <c r="BA112" s="288"/>
    </row>
    <row r="113" spans="45:53" s="246" customFormat="1" ht="15" x14ac:dyDescent="0.2">
      <c r="AS113" s="288" t="str">
        <f t="shared" si="9"/>
        <v/>
      </c>
      <c r="AT113" s="326">
        <f t="shared" si="12"/>
        <v>0</v>
      </c>
      <c r="AU113" s="326"/>
      <c r="AV113" s="326">
        <f t="shared" si="10"/>
        <v>0</v>
      </c>
      <c r="AW113" s="326">
        <f t="shared" si="13"/>
        <v>0</v>
      </c>
      <c r="AX113" s="288">
        <f t="shared" si="14"/>
        <v>0</v>
      </c>
      <c r="AY113" s="327">
        <f t="shared" si="15"/>
        <v>0</v>
      </c>
      <c r="AZ113" s="288">
        <f t="shared" si="11"/>
        <v>0</v>
      </c>
      <c r="BA113" s="288"/>
    </row>
    <row r="114" spans="45:53" s="246" customFormat="1" ht="15" x14ac:dyDescent="0.2">
      <c r="AS114" s="288" t="str">
        <f t="shared" si="9"/>
        <v/>
      </c>
      <c r="AT114" s="326">
        <f t="shared" si="12"/>
        <v>0</v>
      </c>
      <c r="AU114" s="326"/>
      <c r="AV114" s="326">
        <f t="shared" si="10"/>
        <v>0</v>
      </c>
      <c r="AW114" s="326">
        <f t="shared" si="13"/>
        <v>0</v>
      </c>
      <c r="AX114" s="288">
        <f t="shared" si="14"/>
        <v>0</v>
      </c>
      <c r="AY114" s="327">
        <f t="shared" si="15"/>
        <v>0</v>
      </c>
      <c r="AZ114" s="288">
        <f t="shared" si="11"/>
        <v>0</v>
      </c>
      <c r="BA114" s="288"/>
    </row>
    <row r="115" spans="45:53" s="246" customFormat="1" ht="15" x14ac:dyDescent="0.2">
      <c r="BA115" s="288"/>
    </row>
    <row r="116" spans="45:53" s="246" customFormat="1" ht="15" x14ac:dyDescent="0.2">
      <c r="BA116" s="288"/>
    </row>
    <row r="117" spans="45:53" s="246" customFormat="1" ht="15" x14ac:dyDescent="0.2">
      <c r="BA117" s="288"/>
    </row>
    <row r="118" spans="45:53" s="246" customFormat="1" ht="15" x14ac:dyDescent="0.2">
      <c r="BA118" s="288"/>
    </row>
    <row r="119" spans="45:53" ht="15" x14ac:dyDescent="0.2">
      <c r="BA119" s="232"/>
    </row>
  </sheetData>
  <mergeCells count="68">
    <mergeCell ref="S2:T3"/>
    <mergeCell ref="Z2:AB3"/>
    <mergeCell ref="B4:D5"/>
    <mergeCell ref="F4:G5"/>
    <mergeCell ref="T4:U4"/>
    <mergeCell ref="V4:W4"/>
    <mergeCell ref="T5:U5"/>
    <mergeCell ref="V5:W5"/>
    <mergeCell ref="AE6:AE7"/>
    <mergeCell ref="B7:B11"/>
    <mergeCell ref="Q8:Q11"/>
    <mergeCell ref="T8:U8"/>
    <mergeCell ref="V8:W8"/>
    <mergeCell ref="C9:D9"/>
    <mergeCell ref="T9:U9"/>
    <mergeCell ref="V9:W9"/>
    <mergeCell ref="Z9:AA9"/>
    <mergeCell ref="T10:U10"/>
    <mergeCell ref="C6:D6"/>
    <mergeCell ref="I6:J6"/>
    <mergeCell ref="L6:M6"/>
    <mergeCell ref="T6:U6"/>
    <mergeCell ref="V6:W6"/>
    <mergeCell ref="AD6:AD7"/>
    <mergeCell ref="V10:W10"/>
    <mergeCell ref="Z10:AA10"/>
    <mergeCell ref="T11:U11"/>
    <mergeCell ref="V11:W11"/>
    <mergeCell ref="T12:U12"/>
    <mergeCell ref="V12:W12"/>
    <mergeCell ref="Q13:Q14"/>
    <mergeCell ref="T13:U13"/>
    <mergeCell ref="V13:W13"/>
    <mergeCell ref="B14:B18"/>
    <mergeCell ref="C14:C15"/>
    <mergeCell ref="D14:D15"/>
    <mergeCell ref="F14:F15"/>
    <mergeCell ref="G14:G15"/>
    <mergeCell ref="T14:U14"/>
    <mergeCell ref="V14:W14"/>
    <mergeCell ref="T15:U15"/>
    <mergeCell ref="C16:C17"/>
    <mergeCell ref="D16:D17"/>
    <mergeCell ref="F16:F17"/>
    <mergeCell ref="G16:G17"/>
    <mergeCell ref="T16:U16"/>
    <mergeCell ref="L17:M17"/>
    <mergeCell ref="T17:U17"/>
    <mergeCell ref="T18:U18"/>
    <mergeCell ref="T19:U19"/>
    <mergeCell ref="F21:F24"/>
    <mergeCell ref="Q21:Q25"/>
    <mergeCell ref="R21:S22"/>
    <mergeCell ref="U21:W22"/>
    <mergeCell ref="J37:N37"/>
    <mergeCell ref="O37:P37"/>
    <mergeCell ref="D38:G38"/>
    <mergeCell ref="R38:T38"/>
    <mergeCell ref="B23:E26"/>
    <mergeCell ref="F31:F34"/>
    <mergeCell ref="R33:V33"/>
    <mergeCell ref="B36:B38"/>
    <mergeCell ref="D36:F36"/>
    <mergeCell ref="H36:I36"/>
    <mergeCell ref="J36:N36"/>
    <mergeCell ref="O36:P36"/>
    <mergeCell ref="D37:F37"/>
    <mergeCell ref="H37:I37"/>
  </mergeCells>
  <phoneticPr fontId="49" type="noConversion"/>
  <dataValidations count="3">
    <dataValidation type="list" allowBlank="1" showInputMessage="1" sqref="K9">
      <formula1>$C$30:$G$30</formula1>
    </dataValidation>
    <dataValidation type="list" allowBlank="1" showInputMessage="1" sqref="K14">
      <formula1>$C$21:$G$21</formula1>
    </dataValidation>
    <dataValidation type="list" allowBlank="1" showInputMessage="1" sqref="K15">
      <formula1>$C$28:$G$28</formula1>
    </dataValidation>
  </dataValidations>
  <hyperlinks>
    <hyperlink ref="H38" r:id="rId1" location="Grantstructure"/>
  </hyperlinks>
  <pageMargins left="0.7" right="0.7" top="0.75" bottom="0.75" header="0.3" footer="0.3"/>
  <legacyDrawing r:id="rId2"/>
  <extLst>
    <ext xmlns:x14="http://schemas.microsoft.com/office/spreadsheetml/2009/9/main" uri="{CCE6A557-97BC-4b89-ADB6-D9C93CAAB3DF}">
      <x14:dataValidations xmlns:xm="http://schemas.microsoft.com/office/excel/2006/main" count="36">
        <x14:dataValidation type="list" allowBlank="1" showInputMessage="1">
          <x14:formula1>
            <xm:f>Parameters!$D$5:$H$5</xm:f>
          </x14:formula1>
          <xm:sqref>G7</xm:sqref>
        </x14:dataValidation>
        <x14:dataValidation type="list" allowBlank="1" showInputMessage="1">
          <x14:formula1>
            <xm:f>Parameters!$D$9:$H$9</xm:f>
          </x14:formula1>
          <xm:sqref>G10</xm:sqref>
        </x14:dataValidation>
        <x14:dataValidation type="list" allowBlank="1" showInputMessage="1">
          <x14:formula1>
            <xm:f>Parameters!$D$8:$H$8</xm:f>
          </x14:formula1>
          <xm:sqref>G8</xm:sqref>
        </x14:dataValidation>
        <x14:dataValidation type="list" allowBlank="1" showInputMessage="1">
          <x14:formula1>
            <xm:f>Parameters!$D$32:$H$32</xm:f>
          </x14:formula1>
          <xm:sqref>G18</xm:sqref>
        </x14:dataValidation>
        <x14:dataValidation type="list" allowBlank="1" showInputMessage="1">
          <x14:formula1>
            <xm:f>Parameters!$D$7:$H$7</xm:f>
          </x14:formula1>
          <xm:sqref>G9</xm:sqref>
        </x14:dataValidation>
        <x14:dataValidation type="list" allowBlank="1" showInputMessage="1">
          <x14:formula1>
            <xm:f>Parameters!$D$4:$H$4</xm:f>
          </x14:formula1>
          <xm:sqref>D7</xm:sqref>
        </x14:dataValidation>
        <x14:dataValidation type="list" allowBlank="1" showInputMessage="1">
          <x14:formula1>
            <xm:f>Parameters!$D$14:$H$14</xm:f>
          </x14:formula1>
          <xm:sqref>J17:K17</xm:sqref>
        </x14:dataValidation>
        <x14:dataValidation type="list" allowBlank="1" showInputMessage="1">
          <x14:formula1>
            <xm:f>Parameters!$D$17:$H$17</xm:f>
          </x14:formula1>
          <xm:sqref>J18:K18</xm:sqref>
        </x14:dataValidation>
        <x14:dataValidation type="list" allowBlank="1" showInputMessage="1">
          <x14:formula1>
            <xm:f>Parameters!$D$21:$H$21</xm:f>
          </x14:formula1>
          <xm:sqref>J16:K16</xm:sqref>
        </x14:dataValidation>
        <x14:dataValidation type="list" allowBlank="1" showInputMessage="1">
          <x14:formula1>
            <xm:f>Parameters!$D$18:$H$18</xm:f>
          </x14:formula1>
          <xm:sqref>J10</xm:sqref>
        </x14:dataValidation>
        <x14:dataValidation type="list" allowBlank="1" showInputMessage="1">
          <x14:formula1>
            <xm:f>Parameters!$E$23:$G$23</xm:f>
          </x14:formula1>
          <xm:sqref>K7</xm:sqref>
        </x14:dataValidation>
        <x14:dataValidation type="list" allowBlank="1" showInputMessage="1">
          <x14:formula1>
            <xm:f>Parameters!$D$23:$H$23</xm:f>
          </x14:formula1>
          <xm:sqref>J7</xm:sqref>
        </x14:dataValidation>
        <x14:dataValidation type="list" allowBlank="1" showInputMessage="1">
          <x14:formula1>
            <xm:f>Parameters!$E$16:$I$16</xm:f>
          </x14:formula1>
          <xm:sqref>K10</xm:sqref>
        </x14:dataValidation>
        <x14:dataValidation type="list" allowBlank="1" showInputMessage="1">
          <x14:formula1>
            <xm:f>Parameters!$D$16:$H$16</xm:f>
          </x14:formula1>
          <xm:sqref>J8</xm:sqref>
        </x14:dataValidation>
        <x14:dataValidation type="list" allowBlank="1" showInputMessage="1">
          <x14:formula1>
            <xm:f>Parameters!$D$36:$H$36</xm:f>
          </x14:formula1>
          <xm:sqref>M7</xm:sqref>
        </x14:dataValidation>
        <x14:dataValidation type="list" allowBlank="1" showInputMessage="1">
          <x14:formula1>
            <xm:f>Parameters!$D$37:$H$37</xm:f>
          </x14:formula1>
          <xm:sqref>M8</xm:sqref>
        </x14:dataValidation>
        <x14:dataValidation type="list" allowBlank="1" showInputMessage="1">
          <x14:formula1>
            <xm:f>Parameters!$D$38:$H$38</xm:f>
          </x14:formula1>
          <xm:sqref>M9</xm:sqref>
        </x14:dataValidation>
        <x14:dataValidation type="list" allowBlank="1" showInputMessage="1">
          <x14:formula1>
            <xm:f>Parameters!$D$39:$H$39</xm:f>
          </x14:formula1>
          <xm:sqref>M10</xm:sqref>
        </x14:dataValidation>
        <x14:dataValidation type="list" allowBlank="1" showInputMessage="1">
          <x14:formula1>
            <xm:f>Parameters!$D$40:$H$40</xm:f>
          </x14:formula1>
          <xm:sqref>M11</xm:sqref>
        </x14:dataValidation>
        <x14:dataValidation type="list" allowBlank="1" showInputMessage="1">
          <x14:formula1>
            <xm:f>Parameters!$D$41:$H$41</xm:f>
          </x14:formula1>
          <xm:sqref>M12</xm:sqref>
        </x14:dataValidation>
        <x14:dataValidation type="list" allowBlank="1" showInputMessage="1">
          <x14:formula1>
            <xm:f>Parameters!$D$42:$H$42</xm:f>
          </x14:formula1>
          <xm:sqref>M13</xm:sqref>
        </x14:dataValidation>
        <x14:dataValidation type="list" allowBlank="1" showInputMessage="1">
          <x14:formula1>
            <xm:f>Parameters!$D$43:$H$43</xm:f>
          </x14:formula1>
          <xm:sqref>M14</xm:sqref>
        </x14:dataValidation>
        <x14:dataValidation type="list" allowBlank="1" showInputMessage="1">
          <x14:formula1>
            <xm:f>Parameters!$D$44:$H$44</xm:f>
          </x14:formula1>
          <xm:sqref>M15</xm:sqref>
        </x14:dataValidation>
        <x14:dataValidation type="list" allowBlank="1" showInputMessage="1">
          <x14:formula1>
            <xm:f>Parameters!$D$25:$H$25</xm:f>
          </x14:formula1>
          <xm:sqref>J9</xm:sqref>
        </x14:dataValidation>
        <x14:dataValidation type="list" allowBlank="1" showInputMessage="1">
          <x14:formula1>
            <xm:f>Parameters!$D$24:$H$24</xm:f>
          </x14:formula1>
          <xm:sqref>J11</xm:sqref>
        </x14:dataValidation>
        <x14:dataValidation type="list" allowBlank="1" showInputMessage="1">
          <x14:formula1>
            <xm:f>Parameters!$D$15:$H$15</xm:f>
          </x14:formula1>
          <xm:sqref>J15</xm:sqref>
        </x14:dataValidation>
        <x14:dataValidation type="list" allowBlank="1" showInputMessage="1">
          <x14:formula1>
            <xm:f>Parameters!$D$22:$H$22</xm:f>
          </x14:formula1>
          <xm:sqref>J14</xm:sqref>
        </x14:dataValidation>
        <x14:dataValidation type="list" allowBlank="1" showInputMessage="1">
          <x14:formula1>
            <xm:f>Parameters!$D$28:$H$28</xm:f>
          </x14:formula1>
          <xm:sqref>G16</xm:sqref>
        </x14:dataValidation>
        <x14:dataValidation type="list" allowBlank="1" showInputMessage="1">
          <x14:formula1>
            <xm:f>Parameters!$D$10:$H$10</xm:f>
          </x14:formula1>
          <xm:sqref>G14</xm:sqref>
        </x14:dataValidation>
        <x14:dataValidation type="list" allowBlank="1" showInputMessage="1">
          <x14:formula1>
            <xm:f>Parameters!$D$56:$H$56</xm:f>
          </x14:formula1>
          <xm:sqref>D14</xm:sqref>
        </x14:dataValidation>
        <x14:dataValidation type="list" allowBlank="1" showInputMessage="1">
          <x14:formula1>
            <xm:f>Parameters!$D$55:$H$55</xm:f>
          </x14:formula1>
          <xm:sqref>D11</xm:sqref>
        </x14:dataValidation>
        <x14:dataValidation type="list" allowBlank="1" showInputMessage="1">
          <x14:formula1>
            <xm:f>Parameters!$D$54:$H$54</xm:f>
          </x14:formula1>
          <xm:sqref>D10</xm:sqref>
        </x14:dataValidation>
        <x14:dataValidation type="list" allowBlank="1" showInputMessage="1">
          <x14:formula1>
            <xm:f>Parameters!$D$57:$H$57</xm:f>
          </x14:formula1>
          <xm:sqref>D16:D17</xm:sqref>
        </x14:dataValidation>
        <x14:dataValidation type="list" allowBlank="1" showInputMessage="1">
          <x14:formula1>
            <xm:f>Parameters!$D$33:$H$33</xm:f>
          </x14:formula1>
          <xm:sqref>G11</xm:sqref>
        </x14:dataValidation>
        <x14:dataValidation type="list" allowBlank="1" showInputMessage="1">
          <x14:formula1>
            <xm:f>Parameters!$D$6:$H$6</xm:f>
          </x14:formula1>
          <xm:sqref>G13</xm:sqref>
        </x14:dataValidation>
        <x14:dataValidation type="list" allowBlank="1" showInputMessage="1">
          <x14:formula1>
            <xm:f>Parameters!$D$51:$H$51</xm:f>
          </x14:formula1>
          <xm:sqref>M18</xm:sqref>
        </x14:dataValidation>
      </x14:dataValidations>
    </ext>
  </extLs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B119"/>
  <sheetViews>
    <sheetView workbookViewId="0"/>
  </sheetViews>
  <sheetFormatPr baseColWidth="10" defaultColWidth="8.83203125" defaultRowHeight="11" x14ac:dyDescent="0.15"/>
  <cols>
    <col min="1" max="1" width="1.5" style="233" customWidth="1"/>
    <col min="2" max="2" width="9.5" style="233" customWidth="1"/>
    <col min="3" max="3" width="14.5" style="233" customWidth="1"/>
    <col min="4" max="4" width="5.83203125" style="233" customWidth="1"/>
    <col min="5" max="5" width="1.83203125" style="233" customWidth="1"/>
    <col min="6" max="6" width="21.5" style="233" customWidth="1"/>
    <col min="7" max="7" width="13.5" style="233" customWidth="1"/>
    <col min="8" max="8" width="1.5" style="233" customWidth="1"/>
    <col min="9" max="9" width="16.5" style="233" customWidth="1"/>
    <col min="10" max="10" width="8.5" style="233" customWidth="1"/>
    <col min="11" max="11" width="1.5" style="233" customWidth="1"/>
    <col min="12" max="12" width="22.83203125" style="233" customWidth="1"/>
    <col min="13" max="13" width="8.5" style="233" customWidth="1"/>
    <col min="14" max="14" width="0.83203125" style="233" customWidth="1"/>
    <col min="15" max="15" width="2.83203125" style="233" customWidth="1"/>
    <col min="16" max="16" width="3.83203125" style="233" customWidth="1"/>
    <col min="17" max="17" width="15.5" style="233" customWidth="1"/>
    <col min="18" max="18" width="30.83203125" style="233" customWidth="1"/>
    <col min="19" max="19" width="23.5" style="233" customWidth="1"/>
    <col min="20" max="20" width="1" style="233" customWidth="1"/>
    <col min="21" max="21" width="24.5" style="233" customWidth="1"/>
    <col min="22" max="23" width="12.5" style="233" customWidth="1"/>
    <col min="24" max="24" width="12.5" style="246" customWidth="1"/>
    <col min="25" max="25" width="13.5" style="233" customWidth="1"/>
    <col min="26" max="26" width="14.1640625" style="233" customWidth="1"/>
    <col min="27" max="28" width="11.5" style="233" customWidth="1"/>
    <col min="29" max="29" width="2.5" style="233" customWidth="1"/>
    <col min="30" max="30" width="28.5" style="233" customWidth="1"/>
    <col min="31" max="31" width="14.5" style="233" bestFit="1" customWidth="1"/>
    <col min="32" max="16384" width="8.83203125" style="233"/>
  </cols>
  <sheetData>
    <row r="1" spans="1:54" ht="6" customHeight="1" thickBot="1" x14ac:dyDescent="0.35">
      <c r="A1" s="274"/>
      <c r="B1" s="246"/>
      <c r="C1" s="246"/>
      <c r="D1" s="246"/>
      <c r="E1" s="246"/>
      <c r="F1" s="246"/>
      <c r="G1" s="246"/>
      <c r="H1" s="246"/>
      <c r="I1" s="246"/>
      <c r="J1" s="246"/>
      <c r="K1" s="246"/>
      <c r="L1" s="246"/>
      <c r="M1" s="246"/>
      <c r="N1" s="246"/>
      <c r="O1" s="246"/>
      <c r="P1" s="246"/>
      <c r="Q1" s="246"/>
      <c r="R1" s="254"/>
      <c r="S1" s="246"/>
      <c r="T1" s="246"/>
      <c r="U1" s="246"/>
      <c r="V1" s="246"/>
      <c r="W1" s="246"/>
      <c r="Y1" s="246"/>
      <c r="Z1" s="246"/>
      <c r="AA1" s="246"/>
      <c r="AB1" s="246"/>
      <c r="AC1" s="246"/>
      <c r="AD1" s="246"/>
      <c r="AE1" s="246"/>
      <c r="AF1" s="246"/>
      <c r="AG1" s="246"/>
      <c r="AH1" s="246"/>
      <c r="AI1" s="246"/>
      <c r="AJ1" s="246"/>
      <c r="AK1" s="246"/>
      <c r="AL1" s="246"/>
      <c r="AM1" s="246"/>
      <c r="AN1" s="246"/>
      <c r="AO1" s="246"/>
      <c r="AP1" s="246"/>
      <c r="AQ1" s="246"/>
    </row>
    <row r="2" spans="1:54" ht="15" customHeight="1" x14ac:dyDescent="0.25">
      <c r="A2" s="246"/>
      <c r="B2" s="246"/>
      <c r="C2" s="334"/>
      <c r="D2" s="249"/>
      <c r="E2" s="249"/>
      <c r="F2" s="246"/>
      <c r="G2" s="246"/>
      <c r="H2" s="246"/>
      <c r="I2" s="246"/>
      <c r="J2" s="246"/>
      <c r="K2" s="274"/>
      <c r="L2" s="386"/>
      <c r="M2" s="274"/>
      <c r="N2" s="246"/>
      <c r="O2" s="246"/>
      <c r="P2" s="246"/>
      <c r="Q2" s="246"/>
      <c r="S2" s="553" t="s">
        <v>409</v>
      </c>
      <c r="T2" s="554"/>
      <c r="U2" s="333"/>
      <c r="V2" s="333"/>
      <c r="W2" s="333"/>
      <c r="X2" s="333"/>
      <c r="Y2" s="246"/>
      <c r="Z2" s="557" t="s">
        <v>290</v>
      </c>
      <c r="AA2" s="558"/>
      <c r="AB2" s="559"/>
      <c r="AC2" s="246"/>
      <c r="AD2" s="246"/>
      <c r="AE2" s="246"/>
      <c r="AF2" s="246"/>
      <c r="AG2" s="246"/>
      <c r="AH2" s="246"/>
      <c r="AI2" s="246"/>
      <c r="AJ2" s="246"/>
      <c r="AK2" s="246"/>
      <c r="AL2" s="246"/>
      <c r="AM2" s="246"/>
      <c r="AN2" s="246"/>
      <c r="AO2" s="246"/>
      <c r="AP2" s="246"/>
      <c r="AQ2" s="246"/>
      <c r="AS2" s="232" t="s">
        <v>477</v>
      </c>
      <c r="AT2" s="232" t="s">
        <v>478</v>
      </c>
      <c r="AU2" s="232" t="s">
        <v>479</v>
      </c>
      <c r="AV2" s="232" t="s">
        <v>480</v>
      </c>
      <c r="AW2" s="232" t="s">
        <v>481</v>
      </c>
      <c r="AX2" s="232" t="s">
        <v>482</v>
      </c>
      <c r="AY2" s="232" t="s">
        <v>483</v>
      </c>
      <c r="AZ2" s="232" t="s">
        <v>432</v>
      </c>
      <c r="BA2" s="232" t="s">
        <v>485</v>
      </c>
    </row>
    <row r="3" spans="1:54" ht="19.5" customHeight="1" thickBot="1" x14ac:dyDescent="0.3">
      <c r="A3" s="246"/>
      <c r="B3" s="334"/>
      <c r="C3" s="334"/>
      <c r="D3" s="249"/>
      <c r="E3" s="249"/>
      <c r="F3" s="246"/>
      <c r="G3" s="246"/>
      <c r="H3" s="246"/>
      <c r="I3" s="246"/>
      <c r="J3" s="246"/>
      <c r="K3" s="274"/>
      <c r="L3" s="274"/>
      <c r="M3" s="274"/>
      <c r="N3" s="246"/>
      <c r="O3" s="246"/>
      <c r="P3" s="246"/>
      <c r="Q3" s="246"/>
      <c r="R3" s="333"/>
      <c r="S3" s="555"/>
      <c r="T3" s="556"/>
      <c r="U3" s="333"/>
      <c r="V3" s="333"/>
      <c r="W3" s="333"/>
      <c r="X3" s="333"/>
      <c r="Y3" s="246"/>
      <c r="Z3" s="560"/>
      <c r="AA3" s="561"/>
      <c r="AB3" s="562"/>
      <c r="AC3" s="246"/>
      <c r="AD3" s="246"/>
      <c r="AE3" s="246"/>
      <c r="AF3" s="246"/>
      <c r="AG3" s="246"/>
      <c r="AH3" s="246"/>
      <c r="AI3" s="246"/>
      <c r="AJ3" s="246"/>
      <c r="AK3" s="246"/>
      <c r="AL3" s="246"/>
      <c r="AM3" s="246"/>
      <c r="AN3" s="246"/>
      <c r="AO3" s="246"/>
      <c r="AP3" s="246"/>
      <c r="AQ3" s="246"/>
      <c r="AS3" s="232"/>
      <c r="AT3" s="232"/>
      <c r="AU3" s="232"/>
      <c r="AV3" s="232"/>
      <c r="AW3" s="232"/>
      <c r="AX3" s="232"/>
      <c r="AY3" s="232"/>
      <c r="AZ3" s="232"/>
      <c r="BA3" s="232"/>
    </row>
    <row r="4" spans="1:54" ht="40.75" customHeight="1" x14ac:dyDescent="0.2">
      <c r="A4" s="246"/>
      <c r="B4" s="563" t="s">
        <v>365</v>
      </c>
      <c r="C4" s="563"/>
      <c r="D4" s="563"/>
      <c r="E4" s="336"/>
      <c r="F4" s="565" t="s">
        <v>408</v>
      </c>
      <c r="G4" s="566"/>
      <c r="H4" s="249"/>
      <c r="I4" s="246"/>
      <c r="J4" s="246"/>
      <c r="K4" s="246"/>
      <c r="L4" s="246"/>
      <c r="M4" s="246"/>
      <c r="N4" s="277"/>
      <c r="O4" s="277"/>
      <c r="P4" s="277"/>
      <c r="Q4" s="332"/>
      <c r="R4" s="457" t="s">
        <v>393</v>
      </c>
      <c r="S4" s="457" t="s">
        <v>245</v>
      </c>
      <c r="T4" s="569" t="s">
        <v>244</v>
      </c>
      <c r="U4" s="569"/>
      <c r="V4" s="569" t="s">
        <v>395</v>
      </c>
      <c r="W4" s="570"/>
      <c r="X4" s="238"/>
      <c r="Y4" s="246"/>
      <c r="Z4" s="369" t="s">
        <v>291</v>
      </c>
      <c r="AA4" s="370"/>
      <c r="AB4" s="371"/>
      <c r="AC4" s="242"/>
      <c r="AD4" s="372" t="s">
        <v>292</v>
      </c>
      <c r="AE4" s="373"/>
      <c r="AF4" s="246"/>
      <c r="AG4" s="246"/>
      <c r="AH4" s="246"/>
      <c r="AI4" s="246"/>
      <c r="AJ4" s="246"/>
      <c r="AK4" s="246"/>
      <c r="AL4" s="246"/>
      <c r="AM4" s="246"/>
      <c r="AN4" s="246"/>
      <c r="AO4" s="246"/>
      <c r="AP4" s="246"/>
      <c r="AQ4" s="246"/>
      <c r="AS4" s="232">
        <v>0</v>
      </c>
      <c r="AT4" s="278">
        <f>Q37</f>
        <v>212.7659574468085</v>
      </c>
      <c r="AU4" s="278">
        <f>(1-$D$11)*AT4</f>
        <v>106.38297872340425</v>
      </c>
      <c r="AV4" s="278"/>
      <c r="AW4" s="232"/>
      <c r="AX4" s="232">
        <f>IF(ISNUMBER(AS5),SUM(AU4:AV4),SUM(AU4:AW4))</f>
        <v>106.38297872340425</v>
      </c>
      <c r="AY4" s="279">
        <f t="shared" ref="AY4:AY30" si="0">LN(AX4+$J$37)-LN($J$37)</f>
        <v>0.31632022465180309</v>
      </c>
      <c r="AZ4" s="232">
        <f>IF(ISNUMBER(AS4),AY4/(1+$D$7)^AS4,0)</f>
        <v>0.31632022465180309</v>
      </c>
      <c r="BA4" s="232"/>
    </row>
    <row r="5" spans="1:54" ht="10.75" customHeight="1" thickBot="1" x14ac:dyDescent="0.25">
      <c r="A5" s="246"/>
      <c r="B5" s="564"/>
      <c r="C5" s="564"/>
      <c r="D5" s="564"/>
      <c r="E5" s="335"/>
      <c r="F5" s="567"/>
      <c r="G5" s="568"/>
      <c r="H5" s="256"/>
      <c r="I5" s="256"/>
      <c r="J5" s="246"/>
      <c r="K5" s="246"/>
      <c r="L5" s="246"/>
      <c r="M5" s="246"/>
      <c r="N5" s="246"/>
      <c r="O5" s="246"/>
      <c r="P5" s="246"/>
      <c r="Q5" s="459" t="s">
        <v>411</v>
      </c>
      <c r="R5" s="458">
        <f>D37/(1+D7)^10</f>
        <v>0.24352219081241247</v>
      </c>
      <c r="S5" s="458">
        <f>R5*(1-1/(1+D7)^G16)/(1-1/(1+D7))</f>
        <v>5.4167583960664389</v>
      </c>
      <c r="T5" s="582">
        <f>S5*G11*G7*G9*G18*G8/G37</f>
        <v>0.34020757183895206</v>
      </c>
      <c r="U5" s="582"/>
      <c r="V5" s="572">
        <f>$G$14*$G$10</f>
        <v>5.2824539999999998E-3</v>
      </c>
      <c r="W5" s="573"/>
      <c r="X5" s="238"/>
      <c r="Y5" s="246"/>
      <c r="Z5" s="357" t="s">
        <v>121</v>
      </c>
      <c r="AA5" s="358"/>
      <c r="AB5" s="359"/>
      <c r="AC5" s="247"/>
      <c r="AD5" s="238"/>
      <c r="AE5" s="244"/>
      <c r="AF5" s="246"/>
      <c r="AG5" s="246"/>
      <c r="AH5" s="246"/>
      <c r="AI5" s="246"/>
      <c r="AJ5" s="246"/>
      <c r="AK5" s="246"/>
      <c r="AL5" s="246"/>
      <c r="AM5" s="246"/>
      <c r="AN5" s="246"/>
      <c r="AO5" s="246"/>
      <c r="AP5" s="246"/>
      <c r="AQ5" s="246"/>
      <c r="AS5" s="232">
        <f t="shared" ref="AS5:AS68" si="1">IF(AS4&lt;$D$14,AS4+1,"")</f>
        <v>1</v>
      </c>
      <c r="AT5" s="278">
        <f>AT4-AU4</f>
        <v>106.38297872340425</v>
      </c>
      <c r="AU5" s="278"/>
      <c r="AV5" s="278">
        <f t="shared" ref="AV5:AV71" si="2">$D$10*AT5</f>
        <v>10.638297872340425</v>
      </c>
      <c r="AW5" s="278">
        <f>AT5</f>
        <v>106.38297872340425</v>
      </c>
      <c r="AX5" s="232">
        <f t="shared" ref="AX5:AX14" si="3">IF(ISNUMBER(AS6),SUM(AU5:AV5),SUM(AU5:AW5))</f>
        <v>10.638297872340425</v>
      </c>
      <c r="AY5" s="279">
        <f t="shared" si="0"/>
        <v>3.6531480770634062E-2</v>
      </c>
      <c r="AZ5" s="232">
        <f t="shared" ref="AZ5:AZ71" si="4">IF(ISNUMBER(AS5),AY5/(1+$D$7)^AS5,0)</f>
        <v>3.6169782941221841E-2</v>
      </c>
      <c r="BA5" s="232">
        <f>SUM(AZ5:AZ114)</f>
        <v>0.91045801397660786</v>
      </c>
      <c r="BB5" s="233">
        <f>SUM(AZ5:AZ23)</f>
        <v>0.62929159812396074</v>
      </c>
    </row>
    <row r="6" spans="1:54" ht="15" customHeight="1" x14ac:dyDescent="0.2">
      <c r="A6" s="246"/>
      <c r="B6" s="242"/>
      <c r="C6" s="587" t="s">
        <v>540</v>
      </c>
      <c r="D6" s="587"/>
      <c r="E6" s="271"/>
      <c r="F6" s="350" t="s">
        <v>541</v>
      </c>
      <c r="G6" s="351"/>
      <c r="H6" s="272"/>
      <c r="I6" s="587" t="s">
        <v>567</v>
      </c>
      <c r="J6" s="587"/>
      <c r="K6" s="272"/>
      <c r="L6" s="588" t="s">
        <v>390</v>
      </c>
      <c r="M6" s="588"/>
      <c r="N6" s="243"/>
      <c r="O6" s="238"/>
      <c r="P6" s="246"/>
      <c r="Q6" s="459" t="s">
        <v>412</v>
      </c>
      <c r="R6" s="458">
        <f>(M15*M11)/(1+D7)^10</f>
        <v>0</v>
      </c>
      <c r="S6" s="458">
        <f>R6*(1-1/(1+D7)^G16)/(1-1/(1+D7))</f>
        <v>0</v>
      </c>
      <c r="T6" s="582">
        <f>S6*M8*M9*M14*(W37/V37)*G11</f>
        <v>0</v>
      </c>
      <c r="U6" s="582"/>
      <c r="V6" s="572">
        <v>0</v>
      </c>
      <c r="W6" s="589"/>
      <c r="X6" s="238"/>
      <c r="Y6" s="246"/>
      <c r="Z6" s="360" t="s">
        <v>570</v>
      </c>
      <c r="AA6" s="361"/>
      <c r="AB6" s="362">
        <f>$G$7*$G$8*$G$9*G$18*$J7</f>
        <v>2.5590545454545449E-2</v>
      </c>
      <c r="AC6" s="247"/>
      <c r="AD6" s="590" t="s">
        <v>123</v>
      </c>
      <c r="AE6" s="574">
        <f>G10</f>
        <v>3</v>
      </c>
      <c r="AF6" s="246"/>
      <c r="AG6" s="246"/>
      <c r="AH6" s="246"/>
      <c r="AI6" s="246"/>
      <c r="AJ6" s="246"/>
      <c r="AK6" s="246"/>
      <c r="AL6" s="246"/>
      <c r="AM6" s="246"/>
      <c r="AN6" s="246"/>
      <c r="AO6" s="246"/>
      <c r="AP6" s="246"/>
      <c r="AQ6" s="246"/>
      <c r="AS6" s="232">
        <f t="shared" si="1"/>
        <v>2</v>
      </c>
      <c r="AT6" s="278">
        <f t="shared" ref="AT6:AT72" si="5">IF(ISNUMBER(AS6),AW5,0)</f>
        <v>106.38297872340425</v>
      </c>
      <c r="AU6" s="278"/>
      <c r="AV6" s="278">
        <f t="shared" si="2"/>
        <v>10.638297872340425</v>
      </c>
      <c r="AW6" s="278">
        <f t="shared" ref="AW6:AW72" si="6">AT6</f>
        <v>106.38297872340425</v>
      </c>
      <c r="AX6" s="232">
        <f t="shared" si="3"/>
        <v>10.638297872340425</v>
      </c>
      <c r="AY6" s="279">
        <f t="shared" si="0"/>
        <v>3.6531480770634062E-2</v>
      </c>
      <c r="AZ6" s="232">
        <f t="shared" si="4"/>
        <v>3.5811666278437466E-2</v>
      </c>
      <c r="BA6" s="232"/>
    </row>
    <row r="7" spans="1:54" ht="20.5" customHeight="1" x14ac:dyDescent="0.2">
      <c r="A7" s="246"/>
      <c r="B7" s="576" t="s">
        <v>573</v>
      </c>
      <c r="C7" s="301" t="s">
        <v>528</v>
      </c>
      <c r="D7" s="139">
        <v>0.01</v>
      </c>
      <c r="E7" s="234"/>
      <c r="F7" s="321" t="s">
        <v>532</v>
      </c>
      <c r="G7" s="338">
        <v>0.56060606060606055</v>
      </c>
      <c r="H7" s="236"/>
      <c r="I7" s="321" t="s">
        <v>536</v>
      </c>
      <c r="J7" s="381">
        <v>0.25359999999999999</v>
      </c>
      <c r="K7" s="314"/>
      <c r="L7" s="321" t="s">
        <v>397</v>
      </c>
      <c r="M7" s="324"/>
      <c r="N7" s="244"/>
      <c r="O7" s="238"/>
      <c r="P7" s="246"/>
      <c r="Q7" s="247"/>
      <c r="R7" s="238"/>
      <c r="S7" s="238"/>
      <c r="T7" s="238"/>
      <c r="U7" s="318"/>
      <c r="V7" s="238"/>
      <c r="W7" s="244"/>
      <c r="X7" s="238"/>
      <c r="Y7" s="246"/>
      <c r="Z7" s="360" t="s">
        <v>560</v>
      </c>
      <c r="AA7" s="361"/>
      <c r="AB7" s="362">
        <f>$G$7*$G$8*$G$9*G$18*$J8</f>
        <v>1.8737944473235582E-2</v>
      </c>
      <c r="AC7" s="247"/>
      <c r="AD7" s="591"/>
      <c r="AE7" s="575"/>
      <c r="AF7" s="246"/>
      <c r="AG7" s="246"/>
      <c r="AH7" s="246"/>
      <c r="AI7" s="246"/>
      <c r="AJ7" s="246"/>
      <c r="AK7" s="246"/>
      <c r="AL7" s="246"/>
      <c r="AM7" s="246"/>
      <c r="AN7" s="246"/>
      <c r="AO7" s="246"/>
      <c r="AP7" s="246"/>
      <c r="AQ7" s="246"/>
      <c r="AS7" s="232">
        <f t="shared" si="1"/>
        <v>3</v>
      </c>
      <c r="AT7" s="278">
        <f>IF(ISNUMBER(AS7),AW6,0)</f>
        <v>106.38297872340425</v>
      </c>
      <c r="AU7" s="278"/>
      <c r="AV7" s="278">
        <f t="shared" si="2"/>
        <v>10.638297872340425</v>
      </c>
      <c r="AW7" s="278">
        <f t="shared" si="6"/>
        <v>106.38297872340425</v>
      </c>
      <c r="AX7" s="232">
        <f t="shared" si="3"/>
        <v>10.638297872340425</v>
      </c>
      <c r="AY7" s="279">
        <f t="shared" si="0"/>
        <v>3.6531480770634062E-2</v>
      </c>
      <c r="AZ7" s="232">
        <f t="shared" si="4"/>
        <v>3.5457095325185616E-2</v>
      </c>
      <c r="BA7" s="232"/>
    </row>
    <row r="8" spans="1:54" ht="25" customHeight="1" thickBot="1" x14ac:dyDescent="0.25">
      <c r="A8" s="246"/>
      <c r="B8" s="576"/>
      <c r="C8" s="294"/>
      <c r="D8" s="294"/>
      <c r="E8" s="273"/>
      <c r="F8" s="323" t="s">
        <v>534</v>
      </c>
      <c r="G8" s="245">
        <v>0.6</v>
      </c>
      <c r="H8" s="237"/>
      <c r="I8" s="312" t="s">
        <v>537</v>
      </c>
      <c r="J8" s="379">
        <v>0.18569134162665896</v>
      </c>
      <c r="K8" s="315"/>
      <c r="L8" s="312" t="s">
        <v>391</v>
      </c>
      <c r="M8" s="313"/>
      <c r="N8" s="244"/>
      <c r="O8" s="238"/>
      <c r="P8" s="246"/>
      <c r="Q8" s="577" t="s">
        <v>413</v>
      </c>
      <c r="R8" s="238"/>
      <c r="S8" s="460" t="s">
        <v>246</v>
      </c>
      <c r="T8" s="578" t="s">
        <v>562</v>
      </c>
      <c r="U8" s="578"/>
      <c r="V8" s="578" t="s">
        <v>446</v>
      </c>
      <c r="W8" s="662"/>
      <c r="X8" s="238"/>
      <c r="Y8" s="246"/>
      <c r="Z8" s="360" t="s">
        <v>566</v>
      </c>
      <c r="AA8" s="361"/>
      <c r="AB8" s="362">
        <f>$G$7*$G$8*$G$9*G$18/M18</f>
        <v>5.0454545454545446E-2</v>
      </c>
      <c r="AC8" s="374"/>
      <c r="AD8" s="375" t="s">
        <v>124</v>
      </c>
      <c r="AE8" s="376">
        <f>(AE6*U37)/S5</f>
        <v>20.228888199918902</v>
      </c>
      <c r="AF8" s="246"/>
      <c r="AG8" s="246"/>
      <c r="AH8" s="246"/>
      <c r="AI8" s="246"/>
      <c r="AJ8" s="246"/>
      <c r="AK8" s="246"/>
      <c r="AL8" s="246"/>
      <c r="AM8" s="246"/>
      <c r="AN8" s="246"/>
      <c r="AO8" s="246"/>
      <c r="AP8" s="246"/>
      <c r="AQ8" s="246"/>
      <c r="AS8" s="232">
        <f t="shared" si="1"/>
        <v>4</v>
      </c>
      <c r="AT8" s="278">
        <f t="shared" si="5"/>
        <v>106.38297872340425</v>
      </c>
      <c r="AU8" s="278"/>
      <c r="AV8" s="278">
        <f t="shared" si="2"/>
        <v>10.638297872340425</v>
      </c>
      <c r="AW8" s="278">
        <f t="shared" si="6"/>
        <v>106.38297872340425</v>
      </c>
      <c r="AX8" s="232">
        <f t="shared" si="3"/>
        <v>10.638297872340425</v>
      </c>
      <c r="AY8" s="279">
        <f t="shared" si="0"/>
        <v>3.6531480770634062E-2</v>
      </c>
      <c r="AZ8" s="232">
        <f t="shared" si="4"/>
        <v>3.5106034975431299E-2</v>
      </c>
      <c r="BA8" s="232"/>
    </row>
    <row r="9" spans="1:54" ht="33" x14ac:dyDescent="0.2">
      <c r="A9" s="246"/>
      <c r="B9" s="576"/>
      <c r="C9" s="581" t="s">
        <v>542</v>
      </c>
      <c r="D9" s="581"/>
      <c r="E9" s="234"/>
      <c r="F9" s="312" t="s">
        <v>440</v>
      </c>
      <c r="G9" s="313">
        <v>1</v>
      </c>
      <c r="H9" s="237"/>
      <c r="I9" s="312" t="s">
        <v>386</v>
      </c>
      <c r="J9" s="379">
        <v>1</v>
      </c>
      <c r="K9" s="315"/>
      <c r="L9" s="312" t="s">
        <v>392</v>
      </c>
      <c r="M9" s="313"/>
      <c r="N9" s="244"/>
      <c r="O9" s="238"/>
      <c r="P9" s="246"/>
      <c r="Q9" s="577"/>
      <c r="R9" s="253" t="s">
        <v>572</v>
      </c>
      <c r="S9" s="468">
        <f>J11*($T$5*AB13*J14*J7+$V$5*(J7*$G$13))</f>
        <v>7.205427971859818E-2</v>
      </c>
      <c r="T9" s="582">
        <f>S9/(J16/J9)</f>
        <v>9.0067849648247725E-2</v>
      </c>
      <c r="U9" s="582"/>
      <c r="V9" s="663">
        <f>($G$10*$U$37)/T9</f>
        <v>1216.582836472013</v>
      </c>
      <c r="W9" s="664"/>
      <c r="X9" s="238"/>
      <c r="Y9" s="387"/>
      <c r="Z9" s="585" t="s">
        <v>288</v>
      </c>
      <c r="AA9" s="586"/>
      <c r="AB9" s="411">
        <v>0.05</v>
      </c>
      <c r="AC9" s="246"/>
      <c r="AD9" s="246"/>
      <c r="AE9" s="388"/>
      <c r="AF9" s="246"/>
      <c r="AG9" s="246"/>
      <c r="AH9" s="246"/>
      <c r="AI9" s="246"/>
      <c r="AJ9" s="246"/>
      <c r="AK9" s="246"/>
      <c r="AL9" s="246"/>
      <c r="AM9" s="246"/>
      <c r="AN9" s="246"/>
      <c r="AO9" s="246"/>
      <c r="AP9" s="246"/>
      <c r="AQ9" s="246"/>
      <c r="AS9" s="232">
        <f t="shared" si="1"/>
        <v>5</v>
      </c>
      <c r="AT9" s="278">
        <f t="shared" si="5"/>
        <v>106.38297872340425</v>
      </c>
      <c r="AU9" s="278"/>
      <c r="AV9" s="278">
        <f t="shared" si="2"/>
        <v>10.638297872340425</v>
      </c>
      <c r="AW9" s="278">
        <f t="shared" si="6"/>
        <v>106.38297872340425</v>
      </c>
      <c r="AX9" s="232">
        <f>IF(ISNUMBER(AS10),SUM(AU9:AV9),SUM(AU9:AW9))</f>
        <v>10.638297872340425</v>
      </c>
      <c r="AY9" s="279">
        <f t="shared" si="0"/>
        <v>3.6531480770634062E-2</v>
      </c>
      <c r="AZ9" s="232">
        <f t="shared" si="4"/>
        <v>3.475845047072406E-2</v>
      </c>
      <c r="BA9" s="232"/>
    </row>
    <row r="10" spans="1:54" ht="39.75" customHeight="1" x14ac:dyDescent="0.2">
      <c r="A10" s="246"/>
      <c r="B10" s="576"/>
      <c r="C10" s="291" t="s">
        <v>531</v>
      </c>
      <c r="D10" s="292">
        <v>0.1</v>
      </c>
      <c r="E10" s="284"/>
      <c r="F10" s="312" t="s">
        <v>231</v>
      </c>
      <c r="G10" s="503">
        <v>3</v>
      </c>
      <c r="H10" s="285"/>
      <c r="I10" s="312" t="s">
        <v>387</v>
      </c>
      <c r="J10" s="379">
        <v>1</v>
      </c>
      <c r="K10" s="315"/>
      <c r="L10" s="312" t="s">
        <v>406</v>
      </c>
      <c r="M10" s="313"/>
      <c r="N10" s="244"/>
      <c r="O10" s="238"/>
      <c r="P10" s="246"/>
      <c r="Q10" s="577"/>
      <c r="R10" s="253" t="s">
        <v>14</v>
      </c>
      <c r="S10" s="468">
        <f>J18*($T$5*AB14*J15*J8+$V$5*(J8*$G$13))</f>
        <v>4.9342012275424445E-2</v>
      </c>
      <c r="T10" s="582">
        <f>S10/(J17/J10)</f>
        <v>3.916032720271781E-2</v>
      </c>
      <c r="U10" s="582"/>
      <c r="V10" s="663">
        <f>($G$10*$U$37)/T10</f>
        <v>2798.1124731867735</v>
      </c>
      <c r="W10" s="664"/>
      <c r="X10" s="238"/>
      <c r="Y10" s="246"/>
      <c r="Z10" s="592" t="s">
        <v>289</v>
      </c>
      <c r="AA10" s="593"/>
      <c r="AB10" s="377" t="s">
        <v>287</v>
      </c>
      <c r="AC10" s="246"/>
      <c r="AD10" s="387"/>
      <c r="AE10" s="388"/>
      <c r="AF10" s="246"/>
      <c r="AG10" s="246"/>
      <c r="AH10" s="246"/>
      <c r="AI10" s="246"/>
      <c r="AJ10" s="246"/>
      <c r="AK10" s="246"/>
      <c r="AL10" s="246"/>
      <c r="AM10" s="246"/>
      <c r="AN10" s="246"/>
      <c r="AO10" s="246"/>
      <c r="AP10" s="246"/>
      <c r="AQ10" s="246"/>
      <c r="AS10" s="232">
        <f t="shared" si="1"/>
        <v>6</v>
      </c>
      <c r="AT10" s="278">
        <f>IF(ISNUMBER(AS10),AW9,0)</f>
        <v>106.38297872340425</v>
      </c>
      <c r="AU10" s="278"/>
      <c r="AV10" s="278">
        <f t="shared" si="2"/>
        <v>10.638297872340425</v>
      </c>
      <c r="AW10" s="278">
        <f t="shared" si="6"/>
        <v>106.38297872340425</v>
      </c>
      <c r="AX10" s="232">
        <f>IF(ISNUMBER(AS11),SUM(AU10:AV10),SUM(AU10:AW10))</f>
        <v>10.638297872340425</v>
      </c>
      <c r="AY10" s="279">
        <f t="shared" si="0"/>
        <v>3.6531480770634062E-2</v>
      </c>
      <c r="AZ10" s="232">
        <f t="shared" si="4"/>
        <v>3.4414307396756487E-2</v>
      </c>
      <c r="BA10" s="232"/>
    </row>
    <row r="11" spans="1:54" ht="33" customHeight="1" x14ac:dyDescent="0.2">
      <c r="A11" s="246"/>
      <c r="B11" s="576"/>
      <c r="C11" s="298" t="s">
        <v>533</v>
      </c>
      <c r="D11" s="299">
        <v>0.5</v>
      </c>
      <c r="E11" s="235"/>
      <c r="F11" s="312" t="s">
        <v>241</v>
      </c>
      <c r="G11" s="503">
        <v>1.5</v>
      </c>
      <c r="H11" s="238"/>
      <c r="I11" s="312" t="s">
        <v>230</v>
      </c>
      <c r="J11" s="379">
        <v>0.81</v>
      </c>
      <c r="K11" s="315"/>
      <c r="L11" s="312" t="s">
        <v>405</v>
      </c>
      <c r="M11" s="313"/>
      <c r="N11" s="244"/>
      <c r="O11" s="246"/>
      <c r="P11" s="246"/>
      <c r="Q11" s="577"/>
      <c r="R11" s="253" t="s">
        <v>566</v>
      </c>
      <c r="S11" s="468" t="s">
        <v>120</v>
      </c>
      <c r="T11" s="582">
        <f>(1/S37)*(1/M18)*T5*AB15+(1/R37)*U37*G10</f>
        <v>8.5710380393835689E-2</v>
      </c>
      <c r="U11" s="582">
        <f>(1/S37)*(1/M18)*T5+1/R37*(G10*S5)</f>
        <v>5.2829451841533218E-2</v>
      </c>
      <c r="V11" s="663">
        <f>($G$10*$U$37)/T11</f>
        <v>1278.4332480675896</v>
      </c>
      <c r="W11" s="664"/>
      <c r="X11" s="238"/>
      <c r="Y11" s="246"/>
      <c r="Z11" s="247"/>
      <c r="AA11" s="238"/>
      <c r="AB11" s="244"/>
      <c r="AC11" s="246"/>
      <c r="AD11" s="246"/>
      <c r="AE11" s="246"/>
      <c r="AF11" s="246"/>
      <c r="AG11" s="246"/>
      <c r="AH11" s="246"/>
      <c r="AI11" s="246"/>
      <c r="AJ11" s="246"/>
      <c r="AK11" s="246"/>
      <c r="AL11" s="246"/>
      <c r="AM11" s="246"/>
      <c r="AN11" s="246"/>
      <c r="AO11" s="246"/>
      <c r="AP11" s="246"/>
      <c r="AQ11" s="246"/>
      <c r="AS11" s="232">
        <f t="shared" si="1"/>
        <v>7</v>
      </c>
      <c r="AT11" s="278">
        <f>IF(ISNUMBER(AS11),AW10,0)</f>
        <v>106.38297872340425</v>
      </c>
      <c r="AU11" s="278"/>
      <c r="AV11" s="278">
        <f t="shared" si="2"/>
        <v>10.638297872340425</v>
      </c>
      <c r="AW11" s="278">
        <f t="shared" si="6"/>
        <v>106.38297872340425</v>
      </c>
      <c r="AX11" s="232">
        <f>IF(ISNUMBER(AS12),SUM(AU11:AV11),SUM(AU11:AW11))</f>
        <v>10.638297872340425</v>
      </c>
      <c r="AY11" s="279">
        <f t="shared" si="0"/>
        <v>3.6531480770634062E-2</v>
      </c>
      <c r="AZ11" s="232">
        <f t="shared" si="4"/>
        <v>3.4073571679956928E-2</v>
      </c>
      <c r="BA11" s="232"/>
    </row>
    <row r="12" spans="1:54" ht="22.75" customHeight="1" thickBot="1" x14ac:dyDescent="0.25">
      <c r="A12" s="246"/>
      <c r="B12" s="247"/>
      <c r="C12" s="241"/>
      <c r="D12" s="240"/>
      <c r="E12" s="234"/>
      <c r="F12" s="390"/>
      <c r="G12" s="391"/>
      <c r="H12" s="241"/>
      <c r="I12" s="241"/>
      <c r="J12" s="380"/>
      <c r="K12" s="238"/>
      <c r="L12" s="312" t="s">
        <v>399</v>
      </c>
      <c r="M12" s="313"/>
      <c r="N12" s="244"/>
      <c r="O12" s="238"/>
      <c r="P12" s="246"/>
      <c r="Q12" s="293"/>
      <c r="R12" s="253" t="s">
        <v>396</v>
      </c>
      <c r="S12" s="468"/>
      <c r="T12" s="582"/>
      <c r="U12" s="582"/>
      <c r="V12" s="594"/>
      <c r="W12" s="595"/>
      <c r="X12" s="238"/>
      <c r="Y12" s="246"/>
      <c r="Z12" s="363" t="s">
        <v>286</v>
      </c>
      <c r="AA12" s="358"/>
      <c r="AB12" s="364"/>
      <c r="AC12" s="246"/>
      <c r="AD12" s="246"/>
      <c r="AE12" s="246"/>
      <c r="AF12" s="246"/>
      <c r="AG12" s="246"/>
      <c r="AH12" s="246"/>
      <c r="AI12" s="246"/>
      <c r="AJ12" s="246"/>
      <c r="AK12" s="246"/>
      <c r="AL12" s="246"/>
      <c r="AM12" s="246"/>
      <c r="AN12" s="246"/>
      <c r="AO12" s="246"/>
      <c r="AP12" s="246"/>
      <c r="AQ12" s="246"/>
      <c r="AS12" s="232">
        <f t="shared" si="1"/>
        <v>8</v>
      </c>
      <c r="AT12" s="278">
        <f>IF(ISNUMBER(AS12),AW11,0)</f>
        <v>106.38297872340425</v>
      </c>
      <c r="AU12" s="278"/>
      <c r="AV12" s="278">
        <f t="shared" si="2"/>
        <v>10.638297872340425</v>
      </c>
      <c r="AW12" s="278">
        <f t="shared" si="6"/>
        <v>106.38297872340425</v>
      </c>
      <c r="AX12" s="232">
        <f>IF(ISNUMBER(AS13),SUM(AU12:AV12),SUM(AU12:AW12))</f>
        <v>10.638297872340425</v>
      </c>
      <c r="AY12" s="279">
        <f t="shared" si="0"/>
        <v>3.6531480770634062E-2</v>
      </c>
      <c r="AZ12" s="232">
        <f t="shared" si="4"/>
        <v>3.3736209584115766E-2</v>
      </c>
      <c r="BA12" s="232"/>
    </row>
    <row r="13" spans="1:54" ht="30.75" customHeight="1" x14ac:dyDescent="0.2">
      <c r="A13" s="246"/>
      <c r="B13" s="247"/>
      <c r="C13" s="241"/>
      <c r="D13" s="240"/>
      <c r="E13" s="234"/>
      <c r="F13" s="461" t="s">
        <v>80</v>
      </c>
      <c r="G13" s="507">
        <v>2</v>
      </c>
      <c r="H13" s="238"/>
      <c r="I13" s="241"/>
      <c r="J13" s="380"/>
      <c r="K13" s="238"/>
      <c r="L13" s="312" t="s">
        <v>398</v>
      </c>
      <c r="M13" s="313"/>
      <c r="N13" s="244"/>
      <c r="O13" s="238"/>
      <c r="P13" s="246"/>
      <c r="Q13" s="596" t="s">
        <v>122</v>
      </c>
      <c r="R13" s="457" t="s">
        <v>442</v>
      </c>
      <c r="S13" s="457" t="s">
        <v>563</v>
      </c>
      <c r="T13" s="569" t="s">
        <v>564</v>
      </c>
      <c r="U13" s="569"/>
      <c r="V13" s="569" t="s">
        <v>562</v>
      </c>
      <c r="W13" s="570"/>
      <c r="X13" s="238"/>
      <c r="Y13" s="246"/>
      <c r="Z13" s="360" t="s">
        <v>570</v>
      </c>
      <c r="AA13" s="361"/>
      <c r="AB13" s="365">
        <f>IF($AB$10="Yes",MAX(AB6,$AB$9),AB6)/AB6</f>
        <v>1</v>
      </c>
      <c r="AC13" s="246"/>
      <c r="AD13" s="246"/>
      <c r="AE13" s="246"/>
      <c r="AF13" s="246"/>
      <c r="AG13" s="246"/>
      <c r="AH13" s="246"/>
      <c r="AI13" s="246"/>
      <c r="AJ13" s="246"/>
      <c r="AK13" s="246"/>
      <c r="AL13" s="246"/>
      <c r="AM13" s="246"/>
      <c r="AN13" s="246"/>
      <c r="AO13" s="246"/>
      <c r="AP13" s="246"/>
      <c r="AQ13" s="246"/>
      <c r="AS13" s="232">
        <f t="shared" si="1"/>
        <v>9</v>
      </c>
      <c r="AT13" s="278">
        <f>IF(ISNUMBER(AS13),AW12,0)</f>
        <v>106.38297872340425</v>
      </c>
      <c r="AU13" s="278"/>
      <c r="AV13" s="278">
        <f t="shared" si="2"/>
        <v>10.638297872340425</v>
      </c>
      <c r="AW13" s="278">
        <f t="shared" si="6"/>
        <v>106.38297872340425</v>
      </c>
      <c r="AX13" s="232">
        <f t="shared" si="3"/>
        <v>10.638297872340425</v>
      </c>
      <c r="AY13" s="279">
        <f t="shared" si="0"/>
        <v>3.6531480770634062E-2</v>
      </c>
      <c r="AZ13" s="232">
        <f t="shared" si="4"/>
        <v>3.3402187707045304E-2</v>
      </c>
      <c r="BA13" s="232"/>
    </row>
    <row r="14" spans="1:54" ht="21" customHeight="1" thickBot="1" x14ac:dyDescent="0.25">
      <c r="A14" s="246"/>
      <c r="B14" s="597" t="s">
        <v>366</v>
      </c>
      <c r="C14" s="598" t="s">
        <v>529</v>
      </c>
      <c r="D14" s="600">
        <v>20</v>
      </c>
      <c r="E14" s="235"/>
      <c r="F14" s="598" t="s">
        <v>530</v>
      </c>
      <c r="G14" s="600">
        <v>1.7608179999999999E-3</v>
      </c>
      <c r="H14" s="238"/>
      <c r="I14" s="300" t="s">
        <v>539</v>
      </c>
      <c r="J14" s="382">
        <v>1</v>
      </c>
      <c r="K14" s="316"/>
      <c r="L14" s="312" t="s">
        <v>400</v>
      </c>
      <c r="M14" s="313"/>
      <c r="N14" s="244"/>
      <c r="O14" s="238"/>
      <c r="P14" s="246"/>
      <c r="Q14" s="577"/>
      <c r="R14" s="462">
        <f>BA5</f>
        <v>0.91045801397660786</v>
      </c>
      <c r="S14" s="462">
        <f>AZ4</f>
        <v>0.31632022465180309</v>
      </c>
      <c r="T14" s="602">
        <f>R14+S14</f>
        <v>1.226778238628411</v>
      </c>
      <c r="U14" s="602"/>
      <c r="V14" s="582">
        <f>T14/(Tyler!Q37/Tyler!D16)</f>
        <v>4.8721497747127342E-3</v>
      </c>
      <c r="W14" s="603"/>
      <c r="X14" s="238"/>
      <c r="Y14" s="387"/>
      <c r="Z14" s="360" t="s">
        <v>560</v>
      </c>
      <c r="AA14" s="361"/>
      <c r="AB14" s="365">
        <f>IF($AB$10="Yes",MAX(AB7,$AB$9),AB7)/AB7</f>
        <v>1</v>
      </c>
      <c r="AC14" s="246"/>
      <c r="AD14" s="246"/>
      <c r="AE14" s="246"/>
      <c r="AF14" s="246"/>
      <c r="AG14" s="246"/>
      <c r="AH14" s="246"/>
      <c r="AI14" s="246"/>
      <c r="AJ14" s="246"/>
      <c r="AK14" s="246"/>
      <c r="AL14" s="246"/>
      <c r="AM14" s="246"/>
      <c r="AN14" s="246"/>
      <c r="AO14" s="246"/>
      <c r="AP14" s="246"/>
      <c r="AQ14" s="246"/>
      <c r="AS14" s="232">
        <f t="shared" si="1"/>
        <v>10</v>
      </c>
      <c r="AT14" s="278">
        <f t="shared" si="5"/>
        <v>106.38297872340425</v>
      </c>
      <c r="AU14" s="278"/>
      <c r="AV14" s="278">
        <f t="shared" si="2"/>
        <v>10.638297872340425</v>
      </c>
      <c r="AW14" s="278">
        <f t="shared" si="6"/>
        <v>106.38297872340425</v>
      </c>
      <c r="AX14" s="232">
        <f t="shared" si="3"/>
        <v>10.638297872340425</v>
      </c>
      <c r="AY14" s="279">
        <f t="shared" si="0"/>
        <v>3.6531480770634062E-2</v>
      </c>
      <c r="AZ14" s="232">
        <f t="shared" si="4"/>
        <v>3.307147297727258E-2</v>
      </c>
      <c r="BA14" s="232"/>
    </row>
    <row r="15" spans="1:54" ht="21" customHeight="1" thickBot="1" x14ac:dyDescent="0.25">
      <c r="A15" s="246"/>
      <c r="B15" s="597"/>
      <c r="C15" s="599"/>
      <c r="D15" s="601"/>
      <c r="E15" s="235"/>
      <c r="F15" s="599"/>
      <c r="G15" s="601"/>
      <c r="H15" s="238"/>
      <c r="I15" s="300" t="s">
        <v>538</v>
      </c>
      <c r="J15" s="383">
        <v>0.75</v>
      </c>
      <c r="K15" s="316"/>
      <c r="L15" s="322" t="s">
        <v>403</v>
      </c>
      <c r="M15" s="337"/>
      <c r="N15" s="244"/>
      <c r="O15" s="238"/>
      <c r="P15" s="246"/>
      <c r="Q15" s="463" t="s">
        <v>129</v>
      </c>
      <c r="R15" s="415"/>
      <c r="S15" s="465" t="s">
        <v>561</v>
      </c>
      <c r="T15" s="604" t="s">
        <v>560</v>
      </c>
      <c r="U15" s="605"/>
      <c r="V15" s="465" t="s">
        <v>566</v>
      </c>
      <c r="W15" s="430" t="s">
        <v>576</v>
      </c>
      <c r="X15" s="238"/>
      <c r="Y15" s="387"/>
      <c r="Z15" s="366" t="s">
        <v>566</v>
      </c>
      <c r="AA15" s="367"/>
      <c r="AB15" s="368">
        <f>IF($AB$10="Yes",MAX(AB8,$AB$9),AB8)/AB8</f>
        <v>1</v>
      </c>
      <c r="AC15" s="246"/>
      <c r="AD15" s="246"/>
      <c r="AE15" s="246"/>
      <c r="AF15" s="246"/>
      <c r="AG15" s="246"/>
      <c r="AH15" s="246"/>
      <c r="AI15" s="246"/>
      <c r="AJ15" s="246"/>
      <c r="AK15" s="246"/>
      <c r="AL15" s="246"/>
      <c r="AM15" s="246"/>
      <c r="AN15" s="246"/>
      <c r="AO15" s="246"/>
      <c r="AP15" s="246"/>
      <c r="AQ15" s="246"/>
      <c r="AS15" s="232">
        <f t="shared" si="1"/>
        <v>11</v>
      </c>
      <c r="AT15" s="278">
        <f t="shared" si="5"/>
        <v>106.38297872340425</v>
      </c>
      <c r="AU15" s="278"/>
      <c r="AV15" s="278">
        <f t="shared" si="2"/>
        <v>10.638297872340425</v>
      </c>
      <c r="AW15" s="278">
        <f t="shared" si="6"/>
        <v>106.38297872340425</v>
      </c>
      <c r="AX15" s="232">
        <f>IF(ISNUMBER(AS16),SUM(AU15:AV15),SUM(AU15:AW15))</f>
        <v>10.638297872340425</v>
      </c>
      <c r="AY15" s="279">
        <f t="shared" si="0"/>
        <v>3.6531480770634062E-2</v>
      </c>
      <c r="AZ15" s="232">
        <f t="shared" si="4"/>
        <v>3.2744032650764941E-2</v>
      </c>
      <c r="BA15" s="232"/>
    </row>
    <row r="16" spans="1:54" ht="21" customHeight="1" x14ac:dyDescent="0.2">
      <c r="A16" s="246"/>
      <c r="B16" s="597"/>
      <c r="C16" s="606" t="s">
        <v>547</v>
      </c>
      <c r="D16" s="608">
        <v>0.84499999999999997</v>
      </c>
      <c r="E16" s="235"/>
      <c r="F16" s="606" t="s">
        <v>345</v>
      </c>
      <c r="G16" s="610">
        <v>25</v>
      </c>
      <c r="H16" s="238"/>
      <c r="I16" s="296" t="s">
        <v>556</v>
      </c>
      <c r="J16" s="384">
        <v>0.8</v>
      </c>
      <c r="K16" s="317"/>
      <c r="L16" s="238"/>
      <c r="M16" s="238"/>
      <c r="N16" s="244"/>
      <c r="O16" s="238"/>
      <c r="P16" s="246"/>
      <c r="Q16" s="459"/>
      <c r="R16" s="413" t="s">
        <v>126</v>
      </c>
      <c r="S16" s="490">
        <f>$T9/$T$9</f>
        <v>1</v>
      </c>
      <c r="T16" s="612">
        <f>$T9/$T$10</f>
        <v>2.2999769430424175</v>
      </c>
      <c r="U16" s="613"/>
      <c r="V16" s="490">
        <f>$T9/$T$11</f>
        <v>1.0508394576524995</v>
      </c>
      <c r="W16" s="491">
        <f>$T9/$V$14</f>
        <v>18.486264547061918</v>
      </c>
      <c r="X16" s="238"/>
      <c r="Y16" s="387"/>
      <c r="Z16" s="246"/>
      <c r="AA16" s="246"/>
      <c r="AB16" s="246"/>
      <c r="AC16" s="246"/>
      <c r="AD16" s="246"/>
      <c r="AE16" s="246"/>
      <c r="AF16" s="246"/>
      <c r="AG16" s="246"/>
      <c r="AH16" s="246"/>
      <c r="AI16" s="246"/>
      <c r="AJ16" s="246"/>
      <c r="AK16" s="246"/>
      <c r="AL16" s="246"/>
      <c r="AM16" s="246"/>
      <c r="AN16" s="246"/>
      <c r="AO16" s="246"/>
      <c r="AP16" s="246"/>
      <c r="AQ16" s="246"/>
      <c r="AS16" s="232">
        <f t="shared" si="1"/>
        <v>12</v>
      </c>
      <c r="AT16" s="278">
        <f t="shared" si="5"/>
        <v>106.38297872340425</v>
      </c>
      <c r="AU16" s="278"/>
      <c r="AV16" s="278">
        <f t="shared" si="2"/>
        <v>10.638297872340425</v>
      </c>
      <c r="AW16" s="278">
        <f t="shared" si="6"/>
        <v>106.38297872340425</v>
      </c>
      <c r="AX16" s="232">
        <f t="shared" ref="AX16:AX81" si="7">IF(ISNUMBER(AS17),SUM(AU16:AV16),SUM(AU16:AW16))</f>
        <v>10.638297872340425</v>
      </c>
      <c r="AY16" s="279">
        <f t="shared" si="0"/>
        <v>3.6531480770634062E-2</v>
      </c>
      <c r="AZ16" s="232">
        <f t="shared" si="4"/>
        <v>3.2419834307688057E-2</v>
      </c>
      <c r="BA16" s="232"/>
    </row>
    <row r="17" spans="1:54" ht="31.75" customHeight="1" x14ac:dyDescent="0.2">
      <c r="A17" s="246"/>
      <c r="B17" s="597"/>
      <c r="C17" s="607"/>
      <c r="D17" s="609"/>
      <c r="E17" s="235"/>
      <c r="F17" s="599"/>
      <c r="G17" s="611"/>
      <c r="H17" s="238"/>
      <c r="I17" s="297" t="s">
        <v>535</v>
      </c>
      <c r="J17" s="385">
        <v>1.26</v>
      </c>
      <c r="K17" s="317"/>
      <c r="L17" s="614" t="s">
        <v>566</v>
      </c>
      <c r="M17" s="614"/>
      <c r="N17" s="244"/>
      <c r="O17" s="238"/>
      <c r="P17" s="246"/>
      <c r="Q17" s="459"/>
      <c r="R17" s="413" t="s">
        <v>127</v>
      </c>
      <c r="S17" s="490">
        <f>$T10/$T$9</f>
        <v>0.4347869673324623</v>
      </c>
      <c r="T17" s="612">
        <f>$T10/$T$10</f>
        <v>1</v>
      </c>
      <c r="U17" s="613"/>
      <c r="V17" s="490">
        <f>$T10/$T$11</f>
        <v>0.45689130094601971</v>
      </c>
      <c r="W17" s="491">
        <f>$T10/$V$14</f>
        <v>8.0375868997226654</v>
      </c>
      <c r="X17" s="238"/>
      <c r="Y17" s="387"/>
      <c r="Z17" s="246"/>
      <c r="AA17" s="246"/>
      <c r="AB17" s="246"/>
      <c r="AC17" s="246"/>
      <c r="AD17" s="246"/>
      <c r="AE17" s="246"/>
      <c r="AF17" s="246"/>
      <c r="AG17" s="246"/>
      <c r="AH17" s="246"/>
      <c r="AI17" s="246"/>
      <c r="AJ17" s="246"/>
      <c r="AK17" s="246"/>
      <c r="AL17" s="246"/>
      <c r="AM17" s="246"/>
      <c r="AN17" s="246"/>
      <c r="AO17" s="246"/>
      <c r="AP17" s="246"/>
      <c r="AQ17" s="246"/>
      <c r="AS17" s="232">
        <f>IF(AS16&lt;$D$14,AS16+1,"")</f>
        <v>13</v>
      </c>
      <c r="AT17" s="278">
        <f>IF(ISNUMBER(AS17),AW16,0)</f>
        <v>106.38297872340425</v>
      </c>
      <c r="AU17" s="278"/>
      <c r="AV17" s="278">
        <f t="shared" si="2"/>
        <v>10.638297872340425</v>
      </c>
      <c r="AW17" s="278">
        <f t="shared" si="6"/>
        <v>106.38297872340425</v>
      </c>
      <c r="AX17" s="232">
        <f>IF(ISNUMBER(AS18),SUM(AU17:AV17),SUM(AU17:AW17))</f>
        <v>10.638297872340425</v>
      </c>
      <c r="AY17" s="279">
        <f t="shared" si="0"/>
        <v>3.6531480770634062E-2</v>
      </c>
      <c r="AZ17" s="232">
        <f t="shared" si="4"/>
        <v>3.2098845849196096E-2</v>
      </c>
      <c r="BA17" s="232"/>
    </row>
    <row r="18" spans="1:54" ht="30.75" customHeight="1" x14ac:dyDescent="0.2">
      <c r="A18" s="246"/>
      <c r="B18" s="597"/>
      <c r="C18" s="238"/>
      <c r="D18" s="238"/>
      <c r="E18" s="235"/>
      <c r="F18" s="310" t="s">
        <v>372</v>
      </c>
      <c r="G18" s="308">
        <v>0.3</v>
      </c>
      <c r="H18" s="238"/>
      <c r="I18" s="307" t="s">
        <v>229</v>
      </c>
      <c r="J18" s="306">
        <v>1</v>
      </c>
      <c r="K18" s="316"/>
      <c r="L18" s="312" t="s">
        <v>78</v>
      </c>
      <c r="M18" s="137">
        <v>2</v>
      </c>
      <c r="N18" s="244"/>
      <c r="O18" s="238"/>
      <c r="P18" s="238"/>
      <c r="Q18" s="459"/>
      <c r="R18" s="413" t="s">
        <v>128</v>
      </c>
      <c r="S18" s="490">
        <f>$T11/$T$9</f>
        <v>0.95162014779491511</v>
      </c>
      <c r="T18" s="612">
        <f>$T11/$T$10</f>
        <v>2.1887043984629222</v>
      </c>
      <c r="U18" s="613"/>
      <c r="V18" s="490">
        <f>$T11/$T$11</f>
        <v>1</v>
      </c>
      <c r="W18" s="491">
        <f>$T11/$V$14</f>
        <v>17.591901800450959</v>
      </c>
      <c r="X18" s="238"/>
      <c r="Y18" s="246"/>
      <c r="Z18" s="246"/>
      <c r="AA18" s="246"/>
      <c r="AB18" s="246"/>
      <c r="AC18" s="246"/>
      <c r="AD18" s="246"/>
      <c r="AE18" s="246"/>
      <c r="AF18" s="246"/>
      <c r="AG18" s="246"/>
      <c r="AH18" s="246"/>
      <c r="AI18" s="246"/>
      <c r="AJ18" s="246"/>
      <c r="AK18" s="246"/>
      <c r="AL18" s="246"/>
      <c r="AM18" s="246"/>
      <c r="AN18" s="246"/>
      <c r="AO18" s="246"/>
      <c r="AP18" s="246"/>
      <c r="AQ18" s="246"/>
      <c r="AS18" s="232">
        <f>IF(AS17&lt;$D$14,AS17+1,"")</f>
        <v>14</v>
      </c>
      <c r="AT18" s="278">
        <f>IF(ISNUMBER(AS18),AW17,0)</f>
        <v>106.38297872340425</v>
      </c>
      <c r="AU18" s="278"/>
      <c r="AV18" s="278">
        <f t="shared" si="2"/>
        <v>10.638297872340425</v>
      </c>
      <c r="AW18" s="278">
        <f t="shared" si="6"/>
        <v>106.38297872340425</v>
      </c>
      <c r="AX18" s="232">
        <f>IF(ISNUMBER(AS19),SUM(AU18:AV18),SUM(AU18:AW18))</f>
        <v>10.638297872340425</v>
      </c>
      <c r="AY18" s="279">
        <f t="shared" si="0"/>
        <v>3.6531480770634062E-2</v>
      </c>
      <c r="AZ18" s="232">
        <f t="shared" si="4"/>
        <v>3.1781035494253554E-2</v>
      </c>
      <c r="BA18" s="232"/>
    </row>
    <row r="19" spans="1:54" ht="21" customHeight="1" thickBot="1" x14ac:dyDescent="0.25">
      <c r="A19" s="246"/>
      <c r="B19" s="302"/>
      <c r="C19" s="239"/>
      <c r="D19" s="239"/>
      <c r="E19" s="239"/>
      <c r="F19" s="303"/>
      <c r="G19" s="304"/>
      <c r="H19" s="239"/>
      <c r="I19" s="239"/>
      <c r="J19" s="239"/>
      <c r="K19" s="239"/>
      <c r="L19" s="319"/>
      <c r="M19" s="239"/>
      <c r="N19" s="305"/>
      <c r="O19" s="238"/>
      <c r="P19" s="246"/>
      <c r="Q19" s="469"/>
      <c r="R19" s="414" t="s">
        <v>130</v>
      </c>
      <c r="S19" s="492">
        <f>$V14/$T$9</f>
        <v>5.4094216679320066E-2</v>
      </c>
      <c r="T19" s="615">
        <f>$V14/$T$10</f>
        <v>0.12441545111437671</v>
      </c>
      <c r="U19" s="616"/>
      <c r="V19" s="492">
        <f>$V14/$T$11</f>
        <v>5.6844337317433491E-2</v>
      </c>
      <c r="W19" s="493">
        <f>$V14/$V$14</f>
        <v>1</v>
      </c>
      <c r="X19" s="238"/>
      <c r="Y19" s="246"/>
      <c r="Z19" s="246"/>
      <c r="AA19" s="246"/>
      <c r="AB19" s="246"/>
      <c r="AC19" s="246"/>
      <c r="AD19" s="246"/>
      <c r="AE19" s="246"/>
      <c r="AF19" s="246"/>
      <c r="AG19" s="246"/>
      <c r="AH19" s="246"/>
      <c r="AI19" s="246"/>
      <c r="AJ19" s="246"/>
      <c r="AK19" s="246"/>
      <c r="AL19" s="246"/>
      <c r="AM19" s="246"/>
      <c r="AN19" s="246"/>
      <c r="AO19" s="246"/>
      <c r="AP19" s="246"/>
      <c r="AQ19" s="246"/>
      <c r="AS19" s="232">
        <f>IF(AS18&lt;$D$14,AS18+1,"")</f>
        <v>15</v>
      </c>
      <c r="AT19" s="278">
        <f>IF(ISNUMBER(AS19),AW18,0)</f>
        <v>106.38297872340425</v>
      </c>
      <c r="AU19" s="278"/>
      <c r="AV19" s="278">
        <f t="shared" si="2"/>
        <v>10.638297872340425</v>
      </c>
      <c r="AW19" s="278">
        <f t="shared" si="6"/>
        <v>106.38297872340425</v>
      </c>
      <c r="AX19" s="232">
        <f t="shared" si="7"/>
        <v>10.638297872340425</v>
      </c>
      <c r="AY19" s="279">
        <f t="shared" si="0"/>
        <v>3.6531480770634062E-2</v>
      </c>
      <c r="AZ19" s="232">
        <f t="shared" si="4"/>
        <v>3.1466371776488679E-2</v>
      </c>
      <c r="BA19" s="232"/>
    </row>
    <row r="20" spans="1:54" ht="9.75" customHeight="1" thickBot="1" x14ac:dyDescent="0.25">
      <c r="A20" s="246"/>
      <c r="B20" s="246"/>
      <c r="C20" s="246"/>
      <c r="D20" s="246"/>
      <c r="E20" s="246"/>
      <c r="F20" s="246"/>
      <c r="G20" s="246"/>
      <c r="H20" s="246"/>
      <c r="I20" s="246"/>
      <c r="J20" s="246"/>
      <c r="K20" s="246"/>
      <c r="L20" s="246"/>
      <c r="M20" s="246"/>
      <c r="N20" s="246"/>
      <c r="O20" s="246"/>
      <c r="P20" s="246"/>
      <c r="Q20" s="238"/>
      <c r="R20" s="238"/>
      <c r="S20" s="238"/>
      <c r="T20" s="238"/>
      <c r="U20" s="238"/>
      <c r="V20" s="238"/>
      <c r="W20" s="238"/>
      <c r="Y20" s="246"/>
      <c r="Z20" s="246"/>
      <c r="AA20" s="246"/>
      <c r="AB20" s="246"/>
      <c r="AC20" s="246"/>
      <c r="AD20" s="246"/>
      <c r="AE20" s="246"/>
      <c r="AF20" s="246"/>
      <c r="AG20" s="246"/>
      <c r="AH20" s="246"/>
      <c r="AI20" s="246"/>
      <c r="AJ20" s="246"/>
      <c r="AK20" s="246"/>
      <c r="AL20" s="246"/>
      <c r="AM20" s="246"/>
      <c r="AN20" s="246"/>
      <c r="AO20" s="246"/>
      <c r="AP20" s="246"/>
      <c r="AQ20" s="246"/>
      <c r="AS20" s="232">
        <f t="shared" si="1"/>
        <v>16</v>
      </c>
      <c r="AT20" s="278">
        <f t="shared" si="5"/>
        <v>106.38297872340425</v>
      </c>
      <c r="AU20" s="278"/>
      <c r="AV20" s="278">
        <f t="shared" si="2"/>
        <v>10.638297872340425</v>
      </c>
      <c r="AW20" s="278">
        <f t="shared" si="6"/>
        <v>106.38297872340425</v>
      </c>
      <c r="AX20" s="232">
        <f>IF(ISNUMBER(AS21),SUM(AU20:AV20),SUM(AU20:AW20))</f>
        <v>10.638297872340425</v>
      </c>
      <c r="AY20" s="279">
        <f t="shared" si="0"/>
        <v>3.6531480770634062E-2</v>
      </c>
      <c r="AZ20" s="232">
        <f t="shared" si="4"/>
        <v>3.1154823541077889E-2</v>
      </c>
      <c r="BA20" s="232"/>
    </row>
    <row r="21" spans="1:54" ht="10.5" customHeight="1" x14ac:dyDescent="0.2">
      <c r="A21" s="246"/>
      <c r="B21" s="246"/>
      <c r="C21" s="246"/>
      <c r="D21" s="246"/>
      <c r="E21" s="238"/>
      <c r="F21" s="617" t="s">
        <v>562</v>
      </c>
      <c r="G21" s="257" t="s">
        <v>561</v>
      </c>
      <c r="H21" s="258"/>
      <c r="I21" s="487">
        <f>T9</f>
        <v>9.0067849648247725E-2</v>
      </c>
      <c r="J21" s="259"/>
      <c r="K21" s="260"/>
      <c r="L21" s="263"/>
      <c r="M21" s="263"/>
      <c r="N21" s="263"/>
      <c r="O21" s="263"/>
      <c r="P21" s="238"/>
      <c r="Q21" s="557" t="s">
        <v>285</v>
      </c>
      <c r="R21" s="621" t="s">
        <v>243</v>
      </c>
      <c r="S21" s="622"/>
      <c r="T21" s="355"/>
      <c r="U21" s="625" t="s">
        <v>281</v>
      </c>
      <c r="V21" s="625"/>
      <c r="W21" s="626"/>
      <c r="Y21" s="246"/>
      <c r="Z21" s="246"/>
      <c r="AA21" s="246"/>
      <c r="AB21" s="246"/>
      <c r="AC21" s="246"/>
      <c r="AD21" s="246"/>
      <c r="AE21" s="246"/>
      <c r="AF21" s="246"/>
      <c r="AG21" s="246"/>
      <c r="AH21" s="246"/>
      <c r="AI21" s="246"/>
      <c r="AJ21" s="246"/>
      <c r="AK21" s="246"/>
      <c r="AL21" s="246"/>
      <c r="AM21" s="246"/>
      <c r="AN21" s="246"/>
      <c r="AO21" s="246"/>
      <c r="AP21" s="246"/>
      <c r="AQ21" s="246"/>
      <c r="AS21" s="232">
        <f>IF(AS20&lt;$D$14,AS20+1,"")</f>
        <v>17</v>
      </c>
      <c r="AT21" s="278">
        <f>IF(ISNUMBER(AS21),AW20,0)</f>
        <v>106.38297872340425</v>
      </c>
      <c r="AU21" s="278"/>
      <c r="AV21" s="278">
        <f t="shared" si="2"/>
        <v>10.638297872340425</v>
      </c>
      <c r="AW21" s="278">
        <f t="shared" si="6"/>
        <v>106.38297872340425</v>
      </c>
      <c r="AX21" s="232">
        <f t="shared" si="7"/>
        <v>10.638297872340425</v>
      </c>
      <c r="AY21" s="279">
        <f t="shared" si="0"/>
        <v>3.6531480770634062E-2</v>
      </c>
      <c r="AZ21" s="232">
        <f t="shared" si="4"/>
        <v>3.0846359941661274E-2</v>
      </c>
      <c r="BA21" s="232"/>
    </row>
    <row r="22" spans="1:54" ht="12" customHeight="1" thickBot="1" x14ac:dyDescent="0.25">
      <c r="A22" s="246"/>
      <c r="B22" s="246"/>
      <c r="C22" s="246"/>
      <c r="D22" s="246"/>
      <c r="E22" s="238"/>
      <c r="F22" s="618"/>
      <c r="G22" s="261" t="s">
        <v>560</v>
      </c>
      <c r="H22" s="262"/>
      <c r="I22" s="488">
        <f>T10</f>
        <v>3.916032720271781E-2</v>
      </c>
      <c r="J22" s="263"/>
      <c r="K22" s="264"/>
      <c r="L22" s="263"/>
      <c r="M22" s="263"/>
      <c r="N22" s="263"/>
      <c r="O22" s="263"/>
      <c r="P22" s="238"/>
      <c r="Q22" s="619"/>
      <c r="R22" s="623"/>
      <c r="S22" s="624"/>
      <c r="T22" s="356"/>
      <c r="U22" s="627"/>
      <c r="V22" s="627"/>
      <c r="W22" s="628"/>
      <c r="Y22" s="246"/>
      <c r="Z22" s="246"/>
      <c r="AA22" s="246"/>
      <c r="AB22" s="246"/>
      <c r="AC22" s="246"/>
      <c r="AD22" s="246"/>
      <c r="AE22" s="246"/>
      <c r="AF22" s="246"/>
      <c r="AG22" s="246"/>
      <c r="AH22" s="246"/>
      <c r="AI22" s="246"/>
      <c r="AJ22" s="246"/>
      <c r="AK22" s="246"/>
      <c r="AL22" s="246"/>
      <c r="AM22" s="246"/>
      <c r="AN22" s="246"/>
      <c r="AO22" s="246"/>
      <c r="AP22" s="246"/>
      <c r="AQ22" s="246"/>
      <c r="AS22" s="232">
        <f t="shared" si="1"/>
        <v>18</v>
      </c>
      <c r="AT22" s="278">
        <f t="shared" si="5"/>
        <v>106.38297872340425</v>
      </c>
      <c r="AU22" s="278"/>
      <c r="AV22" s="278">
        <f t="shared" si="2"/>
        <v>10.638297872340425</v>
      </c>
      <c r="AW22" s="278">
        <f t="shared" si="6"/>
        <v>106.38297872340425</v>
      </c>
      <c r="AX22" s="232">
        <f t="shared" si="7"/>
        <v>10.638297872340425</v>
      </c>
      <c r="AY22" s="279">
        <f t="shared" si="0"/>
        <v>3.6531480770634062E-2</v>
      </c>
      <c r="AZ22" s="232">
        <f t="shared" si="4"/>
        <v>3.054095043728839E-2</v>
      </c>
      <c r="BA22" s="232"/>
    </row>
    <row r="23" spans="1:54" ht="10.75" customHeight="1" x14ac:dyDescent="0.2">
      <c r="A23" s="246"/>
      <c r="B23" s="565" t="s">
        <v>410</v>
      </c>
      <c r="C23" s="637"/>
      <c r="D23" s="637"/>
      <c r="E23" s="637"/>
      <c r="F23" s="618"/>
      <c r="G23" s="261" t="s">
        <v>390</v>
      </c>
      <c r="H23" s="262"/>
      <c r="I23" s="488" t="s">
        <v>120</v>
      </c>
      <c r="J23" s="263"/>
      <c r="K23" s="264"/>
      <c r="L23" s="263"/>
      <c r="M23" s="263"/>
      <c r="N23" s="263"/>
      <c r="O23" s="263"/>
      <c r="P23" s="238"/>
      <c r="Q23" s="619"/>
      <c r="R23" s="347" t="s">
        <v>566</v>
      </c>
      <c r="S23" s="494">
        <f>(R37/S37)*T5</f>
        <v>267.38721266088476</v>
      </c>
      <c r="T23" s="495"/>
      <c r="U23" s="496"/>
      <c r="V23" s="496"/>
      <c r="W23" s="497"/>
      <c r="Y23" s="246"/>
      <c r="Z23" s="246"/>
      <c r="AA23" s="246"/>
      <c r="AB23" s="246"/>
      <c r="AC23" s="246"/>
      <c r="AD23" s="246"/>
      <c r="AE23" s="246"/>
      <c r="AF23" s="246"/>
      <c r="AG23" s="246"/>
      <c r="AH23" s="246"/>
      <c r="AI23" s="246"/>
      <c r="AJ23" s="246"/>
      <c r="AK23" s="246"/>
      <c r="AL23" s="246"/>
      <c r="AM23" s="246"/>
      <c r="AN23" s="246"/>
      <c r="AO23" s="246"/>
      <c r="AP23" s="246"/>
      <c r="AQ23" s="246"/>
      <c r="AS23" s="232">
        <f t="shared" si="1"/>
        <v>19</v>
      </c>
      <c r="AT23" s="278">
        <f t="shared" si="5"/>
        <v>106.38297872340425</v>
      </c>
      <c r="AU23" s="278"/>
      <c r="AV23" s="278">
        <f t="shared" si="2"/>
        <v>10.638297872340425</v>
      </c>
      <c r="AW23" s="278">
        <f t="shared" si="6"/>
        <v>106.38297872340425</v>
      </c>
      <c r="AX23" s="232">
        <f t="shared" si="7"/>
        <v>10.638297872340425</v>
      </c>
      <c r="AY23" s="279">
        <f t="shared" si="0"/>
        <v>3.6531480770634062E-2</v>
      </c>
      <c r="AZ23" s="232">
        <f t="shared" si="4"/>
        <v>3.0238564789394452E-2</v>
      </c>
      <c r="BA23" s="232"/>
    </row>
    <row r="24" spans="1:54" ht="12.75" customHeight="1" x14ac:dyDescent="0.2">
      <c r="A24" s="246"/>
      <c r="B24" s="638"/>
      <c r="C24" s="639"/>
      <c r="D24" s="639"/>
      <c r="E24" s="639"/>
      <c r="F24" s="618"/>
      <c r="G24" s="261" t="s">
        <v>542</v>
      </c>
      <c r="H24" s="262"/>
      <c r="I24" s="488">
        <f>V14</f>
        <v>4.8721497747127342E-3</v>
      </c>
      <c r="J24" s="263"/>
      <c r="K24" s="264"/>
      <c r="L24" s="263"/>
      <c r="M24" s="263"/>
      <c r="N24" s="263"/>
      <c r="O24" s="263"/>
      <c r="P24" s="238"/>
      <c r="Q24" s="619"/>
      <c r="R24" s="347" t="s">
        <v>570</v>
      </c>
      <c r="S24" s="494">
        <f>T9*$R$37</f>
        <v>255.63625034016144</v>
      </c>
      <c r="T24" s="495"/>
      <c r="U24" s="496" t="s">
        <v>570</v>
      </c>
      <c r="V24" s="496"/>
      <c r="W24" s="497">
        <f>S24/S$23</f>
        <v>0.95605263915284333</v>
      </c>
      <c r="Y24" s="246"/>
      <c r="Z24" s="246"/>
      <c r="AA24" s="246"/>
      <c r="AB24" s="246"/>
      <c r="AC24" s="246"/>
      <c r="AD24" s="246"/>
      <c r="AE24" s="246"/>
      <c r="AF24" s="246"/>
      <c r="AG24" s="246"/>
      <c r="AH24" s="246"/>
      <c r="AI24" s="246"/>
      <c r="AJ24" s="246"/>
      <c r="AK24" s="246"/>
      <c r="AL24" s="246"/>
      <c r="AM24" s="246"/>
      <c r="AN24" s="246"/>
      <c r="AO24" s="246"/>
      <c r="AP24" s="246"/>
      <c r="AQ24" s="246"/>
      <c r="AS24" s="232">
        <f t="shared" si="1"/>
        <v>20</v>
      </c>
      <c r="AT24" s="278">
        <f t="shared" si="5"/>
        <v>106.38297872340425</v>
      </c>
      <c r="AU24" s="278"/>
      <c r="AV24" s="278">
        <f t="shared" si="2"/>
        <v>10.638297872340425</v>
      </c>
      <c r="AW24" s="278">
        <f t="shared" si="6"/>
        <v>106.38297872340425</v>
      </c>
      <c r="AX24" s="232">
        <f>IF(ISNUMBER(AS25),SUM(AU24:AV24),SUM(AU24:AW24))</f>
        <v>117.02127659574468</v>
      </c>
      <c r="AY24" s="279">
        <f t="shared" si="0"/>
        <v>0.34307646019126814</v>
      </c>
      <c r="AZ24" s="232">
        <f t="shared" si="4"/>
        <v>0.28116641585264707</v>
      </c>
      <c r="BA24" s="232"/>
    </row>
    <row r="25" spans="1:54" ht="14.5" customHeight="1" thickBot="1" x14ac:dyDescent="0.25">
      <c r="A25" s="246"/>
      <c r="B25" s="638"/>
      <c r="C25" s="639"/>
      <c r="D25" s="639"/>
      <c r="E25" s="639"/>
      <c r="F25" s="265" t="s">
        <v>574</v>
      </c>
      <c r="G25" s="266"/>
      <c r="H25" s="266"/>
      <c r="I25" s="267">
        <f>V14*J37</f>
        <v>1.3930562115811638</v>
      </c>
      <c r="J25" s="263"/>
      <c r="K25" s="264"/>
      <c r="L25" s="263"/>
      <c r="M25" s="263"/>
      <c r="N25" s="263"/>
      <c r="O25" s="263"/>
      <c r="P25" s="238"/>
      <c r="Q25" s="620"/>
      <c r="R25" s="347" t="s">
        <v>560</v>
      </c>
      <c r="S25" s="494">
        <f>T10*$R$37</f>
        <v>111.14731002564093</v>
      </c>
      <c r="T25" s="495"/>
      <c r="U25" s="496" t="s">
        <v>560</v>
      </c>
      <c r="V25" s="496"/>
      <c r="W25" s="497">
        <f>S25/S$23</f>
        <v>0.41567922758746167</v>
      </c>
      <c r="Y25" s="246"/>
      <c r="Z25" s="246"/>
      <c r="AA25" s="246"/>
      <c r="AB25" s="246"/>
      <c r="AC25" s="246"/>
      <c r="AD25" s="246"/>
      <c r="AE25" s="246"/>
      <c r="AF25" s="246"/>
      <c r="AG25" s="246"/>
      <c r="AH25" s="246"/>
      <c r="AI25" s="246"/>
      <c r="AJ25" s="246"/>
      <c r="AK25" s="246"/>
      <c r="AL25" s="246"/>
      <c r="AM25" s="246"/>
      <c r="AN25" s="246"/>
      <c r="AO25" s="246"/>
      <c r="AP25" s="246"/>
      <c r="AQ25" s="246"/>
      <c r="AS25" s="232" t="str">
        <f>IF(AS24&lt;$D$14,AS24+1,"")</f>
        <v/>
      </c>
      <c r="AT25" s="278">
        <f>IF(ISNUMBER(AS25),AW24,0)</f>
        <v>0</v>
      </c>
      <c r="AU25" s="278"/>
      <c r="AV25" s="278">
        <f t="shared" si="2"/>
        <v>0</v>
      </c>
      <c r="AW25" s="278">
        <f t="shared" si="6"/>
        <v>0</v>
      </c>
      <c r="AX25" s="232">
        <f t="shared" si="7"/>
        <v>0</v>
      </c>
      <c r="AY25" s="279">
        <f t="shared" si="0"/>
        <v>0</v>
      </c>
      <c r="AZ25" s="232">
        <f t="shared" si="4"/>
        <v>0</v>
      </c>
      <c r="BA25" s="232"/>
    </row>
    <row r="26" spans="1:54" ht="12" customHeight="1" thickBot="1" x14ac:dyDescent="0.25">
      <c r="A26" s="246"/>
      <c r="B26" s="567"/>
      <c r="C26" s="640"/>
      <c r="D26" s="640"/>
      <c r="E26" s="640"/>
      <c r="F26" s="247"/>
      <c r="G26" s="238"/>
      <c r="H26" s="238"/>
      <c r="I26" s="238"/>
      <c r="J26" s="238"/>
      <c r="K26" s="244"/>
      <c r="L26" s="238"/>
      <c r="M26" s="238"/>
      <c r="N26" s="238"/>
      <c r="O26" s="263"/>
      <c r="P26" s="238"/>
      <c r="Q26" s="238"/>
      <c r="R26" s="347" t="s">
        <v>390</v>
      </c>
      <c r="S26" s="494">
        <f>T12*$R$37</f>
        <v>0</v>
      </c>
      <c r="T26" s="495"/>
      <c r="U26" s="496" t="s">
        <v>390</v>
      </c>
      <c r="V26" s="496"/>
      <c r="W26" s="497">
        <f>S26/S$23</f>
        <v>0</v>
      </c>
      <c r="Y26" s="246"/>
      <c r="Z26" s="246"/>
      <c r="AA26" s="246"/>
      <c r="AB26" s="246"/>
      <c r="AC26" s="246"/>
      <c r="AD26" s="246"/>
      <c r="AE26" s="246"/>
      <c r="AF26" s="246"/>
      <c r="AG26" s="246"/>
      <c r="AH26" s="246"/>
      <c r="AI26" s="246"/>
      <c r="AJ26" s="246"/>
      <c r="AK26" s="246"/>
      <c r="AL26" s="246"/>
      <c r="AM26" s="246"/>
      <c r="AN26" s="246"/>
      <c r="AO26" s="246"/>
      <c r="AP26" s="246"/>
      <c r="AQ26" s="246"/>
      <c r="AS26" s="232" t="str">
        <f t="shared" si="1"/>
        <v/>
      </c>
      <c r="AT26" s="278">
        <f t="shared" si="5"/>
        <v>0</v>
      </c>
      <c r="AU26" s="278"/>
      <c r="AV26" s="278">
        <f t="shared" si="2"/>
        <v>0</v>
      </c>
      <c r="AW26" s="278">
        <f t="shared" si="6"/>
        <v>0</v>
      </c>
      <c r="AX26" s="232">
        <f t="shared" si="7"/>
        <v>0</v>
      </c>
      <c r="AY26" s="279">
        <f t="shared" si="0"/>
        <v>0</v>
      </c>
      <c r="AZ26" s="232">
        <f t="shared" si="4"/>
        <v>0</v>
      </c>
      <c r="BA26" s="232"/>
    </row>
    <row r="27" spans="1:54" ht="12.75" customHeight="1" x14ac:dyDescent="0.2">
      <c r="A27" s="246"/>
      <c r="B27" s="246"/>
      <c r="C27" s="246"/>
      <c r="D27" s="246"/>
      <c r="E27" s="238"/>
      <c r="F27" s="268" t="s">
        <v>282</v>
      </c>
      <c r="G27" s="489">
        <f>I21/I$24</f>
        <v>18.486264547061918</v>
      </c>
      <c r="H27" s="269" t="s">
        <v>568</v>
      </c>
      <c r="I27" s="266"/>
      <c r="J27" s="266"/>
      <c r="K27" s="270"/>
      <c r="L27" s="238"/>
      <c r="M27" s="238"/>
      <c r="N27" s="238"/>
      <c r="O27" s="263"/>
      <c r="P27" s="238"/>
      <c r="R27" s="347" t="s">
        <v>542</v>
      </c>
      <c r="S27" s="494">
        <f>V14*$R$37</f>
        <v>13.828442716989601</v>
      </c>
      <c r="T27" s="495"/>
      <c r="U27" s="496" t="s">
        <v>542</v>
      </c>
      <c r="V27" s="496"/>
      <c r="W27" s="497">
        <f>S27/S$23</f>
        <v>5.1716918619169709E-2</v>
      </c>
      <c r="Y27" s="246"/>
      <c r="Z27" s="246"/>
      <c r="AA27" s="246"/>
      <c r="AB27" s="246"/>
      <c r="AC27" s="246"/>
      <c r="AD27" s="246"/>
      <c r="AE27" s="246"/>
      <c r="AF27" s="246"/>
      <c r="AG27" s="246"/>
      <c r="AH27" s="246"/>
      <c r="AI27" s="246"/>
      <c r="AJ27" s="246"/>
      <c r="AK27" s="246"/>
      <c r="AL27" s="246"/>
      <c r="AM27" s="246"/>
      <c r="AN27" s="246"/>
      <c r="AO27" s="246"/>
      <c r="AP27" s="246"/>
      <c r="AQ27" s="246"/>
      <c r="AS27" s="232" t="str">
        <f t="shared" si="1"/>
        <v/>
      </c>
      <c r="AT27" s="278">
        <f t="shared" si="5"/>
        <v>0</v>
      </c>
      <c r="AU27" s="278"/>
      <c r="AV27" s="278">
        <f t="shared" si="2"/>
        <v>0</v>
      </c>
      <c r="AW27" s="278">
        <f t="shared" si="6"/>
        <v>0</v>
      </c>
      <c r="AX27" s="232">
        <f t="shared" si="7"/>
        <v>0</v>
      </c>
      <c r="AY27" s="279">
        <f t="shared" si="0"/>
        <v>0</v>
      </c>
      <c r="AZ27" s="232">
        <f t="shared" si="4"/>
        <v>0</v>
      </c>
      <c r="BA27" s="288"/>
      <c r="BB27" s="246"/>
    </row>
    <row r="28" spans="1:54" s="246" customFormat="1" ht="14.5" customHeight="1" x14ac:dyDescent="0.2">
      <c r="E28" s="238"/>
      <c r="F28" s="268" t="s">
        <v>569</v>
      </c>
      <c r="G28" s="489">
        <f>I22/I$24</f>
        <v>8.0375868997226654</v>
      </c>
      <c r="H28" s="269" t="s">
        <v>568</v>
      </c>
      <c r="I28" s="266"/>
      <c r="J28" s="266"/>
      <c r="K28" s="270"/>
      <c r="L28" s="238"/>
      <c r="M28" s="238"/>
      <c r="N28" s="238"/>
      <c r="O28" s="263"/>
      <c r="P28" s="238"/>
      <c r="R28" s="345" t="s">
        <v>247</v>
      </c>
      <c r="S28" s="498"/>
      <c r="T28" s="495"/>
      <c r="U28" s="495"/>
      <c r="V28" s="495"/>
      <c r="W28" s="499" t="s">
        <v>280</v>
      </c>
      <c r="AS28" s="232" t="str">
        <f t="shared" si="1"/>
        <v/>
      </c>
      <c r="AT28" s="278">
        <f t="shared" si="5"/>
        <v>0</v>
      </c>
      <c r="AU28" s="278"/>
      <c r="AV28" s="278">
        <f t="shared" si="2"/>
        <v>0</v>
      </c>
      <c r="AW28" s="278">
        <f t="shared" si="6"/>
        <v>0</v>
      </c>
      <c r="AX28" s="232">
        <f>IF(ISNUMBER(AS29),SUM(AU28:AV28),SUM(AU28:AW28))</f>
        <v>0</v>
      </c>
      <c r="AY28" s="279">
        <f t="shared" si="0"/>
        <v>0</v>
      </c>
      <c r="AZ28" s="232">
        <f t="shared" si="4"/>
        <v>0</v>
      </c>
      <c r="BA28" s="232"/>
      <c r="BB28" s="233"/>
    </row>
    <row r="29" spans="1:54" ht="13.75" customHeight="1" x14ac:dyDescent="0.2">
      <c r="A29" s="246"/>
      <c r="B29" s="246"/>
      <c r="C29" s="246"/>
      <c r="D29" s="246"/>
      <c r="E29" s="238"/>
      <c r="F29" s="268" t="s">
        <v>407</v>
      </c>
      <c r="G29" s="489" t="s">
        <v>120</v>
      </c>
      <c r="H29" s="269" t="s">
        <v>568</v>
      </c>
      <c r="I29" s="266"/>
      <c r="J29" s="266"/>
      <c r="K29" s="270"/>
      <c r="L29" s="238"/>
      <c r="M29" s="238"/>
      <c r="N29" s="238"/>
      <c r="O29" s="263"/>
      <c r="P29" s="238"/>
      <c r="Q29" s="344"/>
      <c r="R29" s="346" t="s">
        <v>570</v>
      </c>
      <c r="S29" s="494" t="str">
        <f>IFERROR(IF(S24-S$23&gt;0,S24-S$23,"N/A"),"N/A")</f>
        <v>N/A</v>
      </c>
      <c r="T29" s="500"/>
      <c r="U29" s="496"/>
      <c r="V29" s="496"/>
      <c r="W29" s="501" t="str">
        <f>IF(AND(S29&lt;&gt;"N/A",S29&gt;=$W$33),R29,"Bednets")</f>
        <v>Bednets</v>
      </c>
      <c r="Y29" s="246"/>
      <c r="Z29" s="246"/>
      <c r="AA29" s="246"/>
      <c r="AB29" s="246"/>
      <c r="AC29" s="246"/>
      <c r="AD29" s="246"/>
      <c r="AE29" s="246"/>
      <c r="AF29" s="246"/>
      <c r="AG29" s="246"/>
      <c r="AH29" s="246"/>
      <c r="AI29" s="246"/>
      <c r="AJ29" s="246"/>
      <c r="AK29" s="246"/>
      <c r="AL29" s="246"/>
      <c r="AM29" s="246"/>
      <c r="AN29" s="246"/>
      <c r="AO29" s="246"/>
      <c r="AP29" s="246"/>
      <c r="AQ29" s="246"/>
      <c r="AS29" s="232" t="str">
        <f>IF(AS28&lt;$D$14,AS28+1,"")</f>
        <v/>
      </c>
      <c r="AT29" s="278">
        <f>IF(ISNUMBER(AS29),AW28,0)</f>
        <v>0</v>
      </c>
      <c r="AU29" s="278"/>
      <c r="AV29" s="278">
        <f t="shared" si="2"/>
        <v>0</v>
      </c>
      <c r="AW29" s="278">
        <f t="shared" si="6"/>
        <v>0</v>
      </c>
      <c r="AX29" s="232">
        <f t="shared" si="7"/>
        <v>0</v>
      </c>
      <c r="AY29" s="279">
        <f t="shared" si="0"/>
        <v>0</v>
      </c>
      <c r="AZ29" s="232">
        <f t="shared" si="4"/>
        <v>0</v>
      </c>
      <c r="BA29" s="232"/>
    </row>
    <row r="30" spans="1:54" ht="13.5" customHeight="1" x14ac:dyDescent="0.2">
      <c r="A30" s="246"/>
      <c r="B30" s="246"/>
      <c r="C30" s="246"/>
      <c r="D30" s="246"/>
      <c r="E30" s="238"/>
      <c r="F30" s="247"/>
      <c r="G30" s="238"/>
      <c r="H30" s="238"/>
      <c r="I30" s="238"/>
      <c r="J30" s="263"/>
      <c r="K30" s="264"/>
      <c r="L30" s="238"/>
      <c r="M30" s="238"/>
      <c r="N30" s="238"/>
      <c r="O30" s="263"/>
      <c r="P30" s="238"/>
      <c r="Q30" s="344"/>
      <c r="R30" s="346" t="s">
        <v>560</v>
      </c>
      <c r="S30" s="494" t="str">
        <f>IFERROR(IF(S25-S$23&gt;0,S25-S$23,"N/A"),"N/A")</f>
        <v>N/A</v>
      </c>
      <c r="T30" s="500"/>
      <c r="U30" s="496"/>
      <c r="V30" s="496"/>
      <c r="W30" s="501" t="str">
        <f>IF(AND(S30&lt;&gt;"N/A",S30&gt;=$W$33),R30,"Bednets")</f>
        <v>Bednets</v>
      </c>
      <c r="Y30" s="246"/>
      <c r="Z30" s="246"/>
      <c r="AA30" s="246"/>
      <c r="AB30" s="246"/>
      <c r="AC30" s="246"/>
      <c r="AD30" s="246"/>
      <c r="AE30" s="246"/>
      <c r="AF30" s="246"/>
      <c r="AG30" s="246"/>
      <c r="AH30" s="246"/>
      <c r="AI30" s="246"/>
      <c r="AJ30" s="246"/>
      <c r="AK30" s="246"/>
      <c r="AL30" s="246"/>
      <c r="AM30" s="246"/>
      <c r="AN30" s="246"/>
      <c r="AO30" s="246"/>
      <c r="AP30" s="246"/>
      <c r="AQ30" s="246"/>
      <c r="AS30" s="232" t="str">
        <f t="shared" si="1"/>
        <v/>
      </c>
      <c r="AT30" s="278">
        <f t="shared" si="5"/>
        <v>0</v>
      </c>
      <c r="AU30" s="278"/>
      <c r="AV30" s="278">
        <f t="shared" si="2"/>
        <v>0</v>
      </c>
      <c r="AW30" s="278">
        <f t="shared" si="6"/>
        <v>0</v>
      </c>
      <c r="AX30" s="232">
        <f>IF(ISNUMBER(AS33),SUM(AU30:AV30),SUM(AU30:AW30))</f>
        <v>0</v>
      </c>
      <c r="AY30" s="279">
        <f t="shared" si="0"/>
        <v>0</v>
      </c>
      <c r="AZ30" s="232">
        <f t="shared" si="4"/>
        <v>0</v>
      </c>
      <c r="BA30" s="232"/>
    </row>
    <row r="31" spans="1:54" ht="13.5" customHeight="1" x14ac:dyDescent="0.2">
      <c r="A31" s="246"/>
      <c r="B31" s="246"/>
      <c r="C31" s="246"/>
      <c r="D31" s="246"/>
      <c r="E31" s="238"/>
      <c r="F31" s="618" t="s">
        <v>446</v>
      </c>
      <c r="G31" s="261" t="s">
        <v>570</v>
      </c>
      <c r="H31" s="262"/>
      <c r="I31" s="431">
        <f>V9</f>
        <v>1216.582836472013</v>
      </c>
      <c r="J31" s="263"/>
      <c r="K31" s="264"/>
      <c r="L31" s="238"/>
      <c r="M31" s="238"/>
      <c r="N31" s="238"/>
      <c r="O31" s="263"/>
      <c r="P31" s="238"/>
      <c r="Q31" s="286"/>
      <c r="R31" s="346" t="s">
        <v>390</v>
      </c>
      <c r="S31" s="494" t="str">
        <f>IFERROR(IF(S26-S$23&gt;0,S26-S$23,"N/A"),"N/A")</f>
        <v>N/A</v>
      </c>
      <c r="T31" s="500"/>
      <c r="U31" s="496"/>
      <c r="V31" s="496"/>
      <c r="W31" s="501" t="str">
        <f>IF(AND(S31&lt;&gt;"N/A",S31&gt;=$W$33),R31,"Bednets")</f>
        <v>Bednets</v>
      </c>
      <c r="Y31" s="246"/>
      <c r="Z31" s="246"/>
      <c r="AA31" s="246"/>
      <c r="AB31" s="246"/>
      <c r="AC31" s="246"/>
      <c r="AD31" s="246"/>
      <c r="AE31" s="246"/>
      <c r="AF31" s="246"/>
      <c r="AG31" s="246"/>
      <c r="AH31" s="246"/>
      <c r="AI31" s="246"/>
      <c r="AJ31" s="246"/>
      <c r="AK31" s="246"/>
      <c r="AL31" s="246"/>
      <c r="AM31" s="246"/>
      <c r="AN31" s="246"/>
      <c r="AO31" s="246"/>
      <c r="AP31" s="246"/>
      <c r="AQ31" s="246"/>
      <c r="AS31" s="232"/>
      <c r="AT31" s="278"/>
      <c r="AU31" s="278"/>
      <c r="AV31" s="278"/>
      <c r="AW31" s="278"/>
      <c r="AX31" s="232"/>
      <c r="AY31" s="279"/>
      <c r="AZ31" s="232"/>
      <c r="BA31" s="232"/>
    </row>
    <row r="32" spans="1:54" ht="13.5" customHeight="1" x14ac:dyDescent="0.2">
      <c r="A32" s="246"/>
      <c r="B32" s="246"/>
      <c r="C32" s="246"/>
      <c r="D32" s="246"/>
      <c r="E32" s="238"/>
      <c r="F32" s="618"/>
      <c r="G32" s="261" t="s">
        <v>560</v>
      </c>
      <c r="H32" s="262"/>
      <c r="I32" s="431">
        <f>V10</f>
        <v>2798.1124731867735</v>
      </c>
      <c r="J32" s="263"/>
      <c r="K32" s="264"/>
      <c r="L32" s="263"/>
      <c r="M32" s="263"/>
      <c r="N32" s="263"/>
      <c r="O32" s="263"/>
      <c r="P32" s="238"/>
      <c r="Q32" s="286"/>
      <c r="R32" s="352"/>
      <c r="S32" s="353"/>
      <c r="T32" s="353"/>
      <c r="U32" s="353"/>
      <c r="V32" s="353"/>
      <c r="W32" s="354"/>
      <c r="Y32" s="246"/>
      <c r="Z32" s="246"/>
      <c r="AA32" s="246"/>
      <c r="AB32" s="246"/>
      <c r="AC32" s="246"/>
      <c r="AD32" s="246"/>
      <c r="AE32" s="246"/>
      <c r="AF32" s="246"/>
      <c r="AG32" s="246"/>
      <c r="AH32" s="246"/>
      <c r="AI32" s="246"/>
      <c r="AJ32" s="246"/>
      <c r="AK32" s="246"/>
      <c r="AL32" s="246"/>
      <c r="AM32" s="246"/>
      <c r="AN32" s="246"/>
      <c r="AO32" s="246"/>
      <c r="AP32" s="246"/>
      <c r="AQ32" s="246"/>
      <c r="AS32" s="232"/>
      <c r="AT32" s="278"/>
      <c r="AU32" s="278"/>
      <c r="AV32" s="278"/>
      <c r="AW32" s="278"/>
      <c r="AX32" s="232"/>
      <c r="AY32" s="279"/>
      <c r="AZ32" s="232"/>
      <c r="BA32" s="232"/>
    </row>
    <row r="33" spans="1:53" ht="13.75" customHeight="1" thickBot="1" x14ac:dyDescent="0.25">
      <c r="A33" s="246"/>
      <c r="B33" s="246"/>
      <c r="C33" s="246"/>
      <c r="D33" s="246"/>
      <c r="E33" s="246"/>
      <c r="F33" s="618"/>
      <c r="G33" s="261" t="s">
        <v>566</v>
      </c>
      <c r="H33" s="262"/>
      <c r="I33" s="431">
        <f>V11</f>
        <v>1278.4332480675896</v>
      </c>
      <c r="J33" s="238"/>
      <c r="K33" s="244"/>
      <c r="L33" s="238"/>
      <c r="M33" s="238"/>
      <c r="N33" s="238"/>
      <c r="O33" s="238"/>
      <c r="P33" s="246"/>
      <c r="Q33" s="286"/>
      <c r="R33" s="642" t="s">
        <v>248</v>
      </c>
      <c r="S33" s="643"/>
      <c r="T33" s="643"/>
      <c r="U33" s="643"/>
      <c r="V33" s="643"/>
      <c r="W33" s="502">
        <f>$G$10*U37</f>
        <v>109.57500000000002</v>
      </c>
      <c r="X33" s="286"/>
      <c r="Y33" s="286"/>
      <c r="Z33" s="246"/>
      <c r="AA33" s="246"/>
      <c r="AB33" s="246"/>
      <c r="AC33" s="246"/>
      <c r="AD33" s="246"/>
      <c r="AE33" s="246"/>
      <c r="AF33" s="246"/>
      <c r="AG33" s="246"/>
      <c r="AH33" s="246"/>
      <c r="AI33" s="246"/>
      <c r="AJ33" s="246"/>
      <c r="AK33" s="246"/>
      <c r="AL33" s="246"/>
      <c r="AM33" s="246"/>
      <c r="AN33" s="246"/>
      <c r="AO33" s="246"/>
      <c r="AP33" s="246"/>
      <c r="AQ33" s="246"/>
      <c r="AS33" s="232" t="str">
        <f>IF(AS30&lt;$D$14,AS30+1,"")</f>
        <v/>
      </c>
      <c r="AT33" s="278">
        <f>IF(ISNUMBER(AS33),AW30,0)</f>
        <v>0</v>
      </c>
      <c r="AU33" s="278"/>
      <c r="AV33" s="278">
        <f t="shared" si="2"/>
        <v>0</v>
      </c>
      <c r="AW33" s="278">
        <f t="shared" si="6"/>
        <v>0</v>
      </c>
      <c r="AX33" s="232">
        <f>IF(ISNUMBER(AS35),SUM(AU33:AV33),SUM(AU33:AW33))</f>
        <v>0</v>
      </c>
      <c r="AY33" s="279">
        <f>LN(AX33+$J$37)-LN($J$37)</f>
        <v>0</v>
      </c>
      <c r="AZ33" s="232">
        <f t="shared" si="4"/>
        <v>0</v>
      </c>
    </row>
    <row r="34" spans="1:53" ht="13.75" customHeight="1" thickBot="1" x14ac:dyDescent="0.25">
      <c r="A34" s="246"/>
      <c r="B34" s="246"/>
      <c r="C34" s="246"/>
      <c r="D34" s="246"/>
      <c r="E34" s="246"/>
      <c r="F34" s="641"/>
      <c r="G34" s="289" t="s">
        <v>390</v>
      </c>
      <c r="H34" s="290"/>
      <c r="I34" s="432" t="s">
        <v>120</v>
      </c>
      <c r="J34" s="239"/>
      <c r="K34" s="325"/>
      <c r="L34" s="238"/>
      <c r="M34" s="238"/>
      <c r="N34" s="238"/>
      <c r="O34" s="238"/>
      <c r="P34" s="246"/>
      <c r="Q34" s="286"/>
      <c r="R34" s="378"/>
      <c r="S34" s="378"/>
      <c r="T34" s="378"/>
      <c r="U34" s="378"/>
      <c r="V34" s="378"/>
      <c r="W34" s="287"/>
      <c r="X34" s="287"/>
      <c r="Y34" s="286"/>
      <c r="Z34" s="246"/>
      <c r="AA34" s="246"/>
      <c r="AB34" s="246"/>
      <c r="AC34" s="246"/>
      <c r="AD34" s="246"/>
      <c r="AE34" s="246"/>
      <c r="AF34" s="246"/>
      <c r="AG34" s="246"/>
      <c r="AH34" s="246"/>
      <c r="AI34" s="246"/>
      <c r="AJ34" s="246"/>
      <c r="AK34" s="246"/>
      <c r="AL34" s="246"/>
      <c r="AM34" s="246"/>
      <c r="AN34" s="246"/>
      <c r="AO34" s="246"/>
      <c r="AP34" s="246"/>
      <c r="AQ34" s="246"/>
      <c r="AS34" s="232"/>
      <c r="AT34" s="278"/>
      <c r="AU34" s="278"/>
      <c r="AV34" s="278"/>
      <c r="AW34" s="278"/>
      <c r="AX34" s="232"/>
      <c r="AY34" s="279"/>
      <c r="AZ34" s="232"/>
    </row>
    <row r="35" spans="1:53" ht="51" customHeight="1" thickBot="1" x14ac:dyDescent="0.25">
      <c r="B35" s="246"/>
      <c r="C35" s="246"/>
      <c r="D35" s="246"/>
      <c r="E35" s="246"/>
      <c r="F35" s="246"/>
      <c r="G35" s="246"/>
      <c r="H35" s="246"/>
      <c r="I35" s="309"/>
      <c r="J35" s="309"/>
      <c r="K35" s="246"/>
      <c r="L35" s="246"/>
      <c r="M35" s="246"/>
      <c r="N35" s="246"/>
      <c r="O35" s="246"/>
      <c r="P35" s="246"/>
      <c r="Q35" s="286"/>
      <c r="R35" s="286"/>
      <c r="S35" s="286"/>
      <c r="T35" s="286"/>
      <c r="U35" s="286"/>
      <c r="W35" s="246"/>
      <c r="Y35" s="286"/>
      <c r="Z35" s="246"/>
      <c r="AA35" s="246"/>
      <c r="AB35" s="246"/>
      <c r="AC35" s="246"/>
      <c r="AD35" s="246"/>
      <c r="AE35" s="246"/>
      <c r="AF35" s="246"/>
      <c r="AG35" s="246"/>
      <c r="AH35" s="246"/>
      <c r="AI35" s="246"/>
      <c r="AJ35" s="246"/>
      <c r="AK35" s="246"/>
      <c r="AL35" s="246"/>
      <c r="AM35" s="246"/>
      <c r="AN35" s="246"/>
      <c r="AR35" s="232"/>
      <c r="AS35" s="232" t="str">
        <f>IF(AS33&lt;$D$14,AS33+1,"")</f>
        <v/>
      </c>
      <c r="AT35" s="278">
        <f>IF(ISNUMBER(AS35),AW33,0)</f>
        <v>0</v>
      </c>
      <c r="AU35" s="278"/>
      <c r="AV35" s="278">
        <f t="shared" si="2"/>
        <v>0</v>
      </c>
      <c r="AW35" s="278">
        <f t="shared" si="6"/>
        <v>0</v>
      </c>
      <c r="AX35" s="232">
        <f t="shared" si="7"/>
        <v>0</v>
      </c>
      <c r="AY35" s="279">
        <f>LN(AX35+$J$37)-LN($J$37)</f>
        <v>0</v>
      </c>
      <c r="AZ35" s="232">
        <f t="shared" si="4"/>
        <v>0</v>
      </c>
    </row>
    <row r="36" spans="1:53" ht="31.5" customHeight="1" x14ac:dyDescent="0.2">
      <c r="A36" s="246"/>
      <c r="B36" s="644" t="s">
        <v>557</v>
      </c>
      <c r="C36" s="248"/>
      <c r="D36" s="647" t="s">
        <v>552</v>
      </c>
      <c r="E36" s="648"/>
      <c r="F36" s="649"/>
      <c r="G36" s="250" t="s">
        <v>544</v>
      </c>
      <c r="H36" s="647" t="s">
        <v>555</v>
      </c>
      <c r="I36" s="649"/>
      <c r="J36" s="647" t="s">
        <v>554</v>
      </c>
      <c r="K36" s="648"/>
      <c r="L36" s="648"/>
      <c r="M36" s="648"/>
      <c r="N36" s="649"/>
      <c r="O36" s="647" t="s">
        <v>545</v>
      </c>
      <c r="P36" s="649"/>
      <c r="Q36" s="470" t="s">
        <v>546</v>
      </c>
      <c r="R36" s="281" t="s">
        <v>441</v>
      </c>
      <c r="S36" s="466" t="s">
        <v>553</v>
      </c>
      <c r="T36" s="467"/>
      <c r="U36" s="281" t="s">
        <v>435</v>
      </c>
      <c r="V36" s="281" t="s">
        <v>401</v>
      </c>
      <c r="W36" s="283" t="s">
        <v>404</v>
      </c>
      <c r="X36" s="212"/>
      <c r="Y36" s="246"/>
      <c r="Z36" s="246"/>
      <c r="AA36" s="246"/>
      <c r="AB36" s="246"/>
      <c r="AC36" s="246"/>
      <c r="AD36" s="246"/>
      <c r="AE36" s="246"/>
      <c r="AF36" s="246"/>
      <c r="AG36" s="246"/>
      <c r="AH36" s="246"/>
      <c r="AI36" s="246"/>
      <c r="AJ36" s="246"/>
      <c r="AK36" s="246"/>
      <c r="AL36" s="246"/>
      <c r="AM36" s="246"/>
      <c r="AN36" s="246"/>
      <c r="AR36" s="232"/>
      <c r="AS36" s="232" t="str">
        <f t="shared" si="1"/>
        <v/>
      </c>
      <c r="AT36" s="278">
        <f t="shared" si="5"/>
        <v>0</v>
      </c>
      <c r="AU36" s="278"/>
      <c r="AV36" s="278">
        <f t="shared" si="2"/>
        <v>0</v>
      </c>
      <c r="AW36" s="278">
        <f t="shared" si="6"/>
        <v>0</v>
      </c>
      <c r="AX36" s="232">
        <f t="shared" si="7"/>
        <v>0</v>
      </c>
      <c r="AY36" s="279">
        <f>LN(AX36+$J$37)-LN($J$37)</f>
        <v>0</v>
      </c>
      <c r="AZ36" s="232">
        <f t="shared" si="4"/>
        <v>0</v>
      </c>
      <c r="BA36" s="232"/>
    </row>
    <row r="37" spans="1:53" ht="12" customHeight="1" x14ac:dyDescent="0.2">
      <c r="A37" s="246"/>
      <c r="B37" s="645"/>
      <c r="C37" s="251" t="s">
        <v>548</v>
      </c>
      <c r="D37" s="650">
        <f>Parameters!$D$29</f>
        <v>0.26900000000000002</v>
      </c>
      <c r="E37" s="651"/>
      <c r="F37" s="652"/>
      <c r="G37" s="255">
        <f>Parameters!$D$30</f>
        <v>2.41</v>
      </c>
      <c r="H37" s="653">
        <f>Parameters!$D$61</f>
        <v>4.7</v>
      </c>
      <c r="I37" s="654"/>
      <c r="J37" s="629">
        <f>Parameters!$D$58</f>
        <v>285.92228810603416</v>
      </c>
      <c r="K37" s="630"/>
      <c r="L37" s="630"/>
      <c r="M37" s="630"/>
      <c r="N37" s="631"/>
      <c r="O37" s="632">
        <f>Parameters!$D$59</f>
        <v>1000</v>
      </c>
      <c r="P37" s="633"/>
      <c r="Q37" s="280">
        <f>Parameters!$D$60</f>
        <v>212.7659574468085</v>
      </c>
      <c r="R37" s="282">
        <f>Parameters!$D$49</f>
        <v>2838.2630576673801</v>
      </c>
      <c r="S37" s="282">
        <f>Parameters!$D$50</f>
        <v>3.6112369528824271</v>
      </c>
      <c r="T37" s="464"/>
      <c r="U37" s="340">
        <f>Parameters!$D$11</f>
        <v>36.525000000000006</v>
      </c>
      <c r="V37" s="328">
        <f>Parameters!$D$45</f>
        <v>15</v>
      </c>
      <c r="W37" s="320">
        <f>Parameters!$D$46</f>
        <v>0.43099999999999999</v>
      </c>
      <c r="X37" s="316"/>
      <c r="Y37" s="246"/>
      <c r="Z37" s="238"/>
      <c r="AA37" s="246"/>
      <c r="AB37" s="246"/>
      <c r="AC37" s="246"/>
      <c r="AD37" s="246"/>
      <c r="AE37" s="246"/>
      <c r="AF37" s="246"/>
      <c r="AG37" s="246"/>
      <c r="AH37" s="246"/>
      <c r="AI37" s="246"/>
      <c r="AJ37" s="246"/>
      <c r="AK37" s="246"/>
      <c r="AL37" s="246"/>
      <c r="AM37" s="246"/>
      <c r="AN37" s="246"/>
      <c r="AO37" s="246"/>
      <c r="AS37" s="232" t="str">
        <f t="shared" si="1"/>
        <v/>
      </c>
      <c r="AT37" s="278">
        <f t="shared" si="5"/>
        <v>0</v>
      </c>
      <c r="AU37" s="278"/>
      <c r="AV37" s="278">
        <f t="shared" si="2"/>
        <v>0</v>
      </c>
      <c r="AW37" s="278">
        <f t="shared" si="6"/>
        <v>0</v>
      </c>
      <c r="AX37" s="232">
        <f t="shared" si="7"/>
        <v>0</v>
      </c>
      <c r="AY37" s="279">
        <f>LN(AX37+$J$37)-LN($J$37)</f>
        <v>0</v>
      </c>
      <c r="AZ37" s="232">
        <f t="shared" si="4"/>
        <v>0</v>
      </c>
      <c r="BA37" s="232"/>
    </row>
    <row r="38" spans="1:53" ht="12" customHeight="1" thickBot="1" x14ac:dyDescent="0.25">
      <c r="A38" s="246"/>
      <c r="B38" s="646"/>
      <c r="C38" s="252" t="s">
        <v>549</v>
      </c>
      <c r="D38" s="634" t="s">
        <v>218</v>
      </c>
      <c r="E38" s="635"/>
      <c r="F38" s="635"/>
      <c r="G38" s="636"/>
      <c r="H38" s="392" t="s">
        <v>551</v>
      </c>
      <c r="I38" s="393"/>
      <c r="J38" s="393"/>
      <c r="K38" s="393"/>
      <c r="L38" s="393"/>
      <c r="M38" s="393"/>
      <c r="N38" s="393"/>
      <c r="O38" s="393"/>
      <c r="P38" s="393"/>
      <c r="Q38" s="394"/>
      <c r="R38" s="634" t="s">
        <v>131</v>
      </c>
      <c r="S38" s="635"/>
      <c r="T38" s="636"/>
      <c r="U38" s="329" t="s">
        <v>253</v>
      </c>
      <c r="V38" s="330" t="s">
        <v>402</v>
      </c>
      <c r="W38" s="331" t="s">
        <v>349</v>
      </c>
      <c r="X38" s="429"/>
      <c r="Y38" s="246"/>
      <c r="Z38" s="238"/>
      <c r="AA38" s="246"/>
      <c r="AB38" s="246"/>
      <c r="AC38" s="246"/>
      <c r="AD38" s="246"/>
      <c r="AE38" s="246"/>
      <c r="AF38" s="246"/>
      <c r="AG38" s="246"/>
      <c r="AH38" s="246"/>
      <c r="AI38" s="246"/>
      <c r="AJ38" s="246"/>
      <c r="AK38" s="246"/>
      <c r="AL38" s="246"/>
      <c r="AM38" s="246"/>
      <c r="AN38" s="246"/>
      <c r="AO38" s="246"/>
      <c r="AP38" s="246"/>
      <c r="AQ38" s="246"/>
      <c r="AS38" s="232" t="str">
        <f t="shared" si="1"/>
        <v/>
      </c>
      <c r="AT38" s="278">
        <f t="shared" si="5"/>
        <v>0</v>
      </c>
      <c r="AU38" s="278"/>
      <c r="AV38" s="278">
        <f t="shared" si="2"/>
        <v>0</v>
      </c>
      <c r="AW38" s="278">
        <f t="shared" si="6"/>
        <v>0</v>
      </c>
      <c r="AX38" s="232">
        <f t="shared" si="7"/>
        <v>0</v>
      </c>
      <c r="AY38" s="279">
        <f>LN(AX38+$J$37)-LN($J$37)</f>
        <v>0</v>
      </c>
      <c r="AZ38" s="232">
        <f t="shared" si="4"/>
        <v>0</v>
      </c>
      <c r="BA38" s="232"/>
    </row>
    <row r="39" spans="1:53" s="246" customFormat="1" ht="15" x14ac:dyDescent="0.2">
      <c r="J39" s="309"/>
      <c r="K39" s="309"/>
      <c r="L39" s="309"/>
      <c r="M39" s="309"/>
      <c r="Z39" s="238"/>
      <c r="AS39" s="288" t="str">
        <f t="shared" si="1"/>
        <v/>
      </c>
      <c r="AT39" s="326">
        <f t="shared" si="5"/>
        <v>0</v>
      </c>
      <c r="AU39" s="326"/>
      <c r="AV39" s="326">
        <f t="shared" si="2"/>
        <v>0</v>
      </c>
      <c r="AW39" s="326">
        <f t="shared" si="6"/>
        <v>0</v>
      </c>
      <c r="AX39" s="288">
        <f t="shared" si="7"/>
        <v>0</v>
      </c>
      <c r="AY39" s="327">
        <f t="shared" ref="AY39:AY102" si="8">LN(AX39+$J$37)-LN($J$37)</f>
        <v>0</v>
      </c>
      <c r="AZ39" s="288">
        <f t="shared" si="4"/>
        <v>0</v>
      </c>
      <c r="BA39" s="288"/>
    </row>
    <row r="40" spans="1:53" s="246" customFormat="1" ht="15" x14ac:dyDescent="0.2">
      <c r="R40" s="309"/>
      <c r="AS40" s="288" t="str">
        <f t="shared" si="1"/>
        <v/>
      </c>
      <c r="AT40" s="326">
        <f t="shared" si="5"/>
        <v>0</v>
      </c>
      <c r="AU40" s="326"/>
      <c r="AV40" s="326">
        <f t="shared" si="2"/>
        <v>0</v>
      </c>
      <c r="AW40" s="326">
        <f t="shared" si="6"/>
        <v>0</v>
      </c>
      <c r="AX40" s="288">
        <f t="shared" si="7"/>
        <v>0</v>
      </c>
      <c r="AY40" s="327">
        <f t="shared" si="8"/>
        <v>0</v>
      </c>
      <c r="AZ40" s="288">
        <f t="shared" si="4"/>
        <v>0</v>
      </c>
      <c r="BA40" s="288"/>
    </row>
    <row r="41" spans="1:53" s="246" customFormat="1" ht="15" x14ac:dyDescent="0.2">
      <c r="R41" s="309"/>
      <c r="AS41" s="288" t="str">
        <f t="shared" si="1"/>
        <v/>
      </c>
      <c r="AT41" s="326">
        <f t="shared" si="5"/>
        <v>0</v>
      </c>
      <c r="AU41" s="326"/>
      <c r="AV41" s="326">
        <f t="shared" si="2"/>
        <v>0</v>
      </c>
      <c r="AW41" s="326">
        <f t="shared" si="6"/>
        <v>0</v>
      </c>
      <c r="AX41" s="288">
        <f t="shared" si="7"/>
        <v>0</v>
      </c>
      <c r="AY41" s="327">
        <f t="shared" si="8"/>
        <v>0</v>
      </c>
      <c r="AZ41" s="288">
        <f t="shared" si="4"/>
        <v>0</v>
      </c>
      <c r="BA41" s="288"/>
    </row>
    <row r="42" spans="1:53" s="246" customFormat="1" ht="15" x14ac:dyDescent="0.2">
      <c r="R42" s="309"/>
      <c r="S42" s="410"/>
      <c r="AS42" s="288" t="str">
        <f t="shared" si="1"/>
        <v/>
      </c>
      <c r="AT42" s="326">
        <f t="shared" si="5"/>
        <v>0</v>
      </c>
      <c r="AU42" s="326"/>
      <c r="AV42" s="326">
        <f t="shared" si="2"/>
        <v>0</v>
      </c>
      <c r="AW42" s="326">
        <f t="shared" si="6"/>
        <v>0</v>
      </c>
      <c r="AX42" s="288">
        <f t="shared" si="7"/>
        <v>0</v>
      </c>
      <c r="AY42" s="327">
        <f t="shared" si="8"/>
        <v>0</v>
      </c>
      <c r="AZ42" s="288">
        <f t="shared" si="4"/>
        <v>0</v>
      </c>
      <c r="BA42" s="288"/>
    </row>
    <row r="43" spans="1:53" s="246" customFormat="1" ht="15" x14ac:dyDescent="0.2">
      <c r="R43" s="412"/>
      <c r="S43" s="387"/>
      <c r="AS43" s="288" t="str">
        <f t="shared" si="1"/>
        <v/>
      </c>
      <c r="AT43" s="326">
        <f t="shared" si="5"/>
        <v>0</v>
      </c>
      <c r="AU43" s="326"/>
      <c r="AV43" s="326">
        <f t="shared" si="2"/>
        <v>0</v>
      </c>
      <c r="AW43" s="326">
        <f t="shared" si="6"/>
        <v>0</v>
      </c>
      <c r="AX43" s="288">
        <f t="shared" si="7"/>
        <v>0</v>
      </c>
      <c r="AY43" s="327">
        <f t="shared" si="8"/>
        <v>0</v>
      </c>
      <c r="AZ43" s="288">
        <f t="shared" si="4"/>
        <v>0</v>
      </c>
      <c r="BA43" s="288"/>
    </row>
    <row r="44" spans="1:53" s="246" customFormat="1" ht="15" x14ac:dyDescent="0.2">
      <c r="S44" s="387"/>
      <c r="AS44" s="288" t="str">
        <f t="shared" si="1"/>
        <v/>
      </c>
      <c r="AT44" s="326">
        <f t="shared" si="5"/>
        <v>0</v>
      </c>
      <c r="AU44" s="326"/>
      <c r="AV44" s="326">
        <f t="shared" si="2"/>
        <v>0</v>
      </c>
      <c r="AW44" s="326">
        <f t="shared" si="6"/>
        <v>0</v>
      </c>
      <c r="AX44" s="288">
        <f t="shared" si="7"/>
        <v>0</v>
      </c>
      <c r="AY44" s="327">
        <f t="shared" si="8"/>
        <v>0</v>
      </c>
      <c r="AZ44" s="288">
        <f t="shared" si="4"/>
        <v>0</v>
      </c>
      <c r="BA44" s="288"/>
    </row>
    <row r="45" spans="1:53" s="246" customFormat="1" ht="15" x14ac:dyDescent="0.2">
      <c r="S45" s="387"/>
      <c r="AS45" s="288" t="str">
        <f t="shared" si="1"/>
        <v/>
      </c>
      <c r="AT45" s="326">
        <f t="shared" si="5"/>
        <v>0</v>
      </c>
      <c r="AU45" s="326"/>
      <c r="AV45" s="326">
        <f t="shared" si="2"/>
        <v>0</v>
      </c>
      <c r="AW45" s="326">
        <f t="shared" si="6"/>
        <v>0</v>
      </c>
      <c r="AX45" s="288">
        <f t="shared" si="7"/>
        <v>0</v>
      </c>
      <c r="AY45" s="327">
        <f t="shared" si="8"/>
        <v>0</v>
      </c>
      <c r="AZ45" s="288">
        <f t="shared" si="4"/>
        <v>0</v>
      </c>
      <c r="BA45" s="288"/>
    </row>
    <row r="46" spans="1:53" s="246" customFormat="1" ht="15" x14ac:dyDescent="0.2">
      <c r="S46" s="387"/>
      <c r="AS46" s="288" t="str">
        <f t="shared" si="1"/>
        <v/>
      </c>
      <c r="AT46" s="326">
        <f t="shared" si="5"/>
        <v>0</v>
      </c>
      <c r="AU46" s="326"/>
      <c r="AV46" s="326">
        <f t="shared" si="2"/>
        <v>0</v>
      </c>
      <c r="AW46" s="326">
        <f t="shared" si="6"/>
        <v>0</v>
      </c>
      <c r="AX46" s="288">
        <f t="shared" si="7"/>
        <v>0</v>
      </c>
      <c r="AY46" s="327">
        <f t="shared" si="8"/>
        <v>0</v>
      </c>
      <c r="AZ46" s="288">
        <f t="shared" si="4"/>
        <v>0</v>
      </c>
      <c r="BA46" s="288"/>
    </row>
    <row r="47" spans="1:53" s="246" customFormat="1" ht="15" x14ac:dyDescent="0.2">
      <c r="S47" s="387"/>
      <c r="AS47" s="288" t="str">
        <f t="shared" si="1"/>
        <v/>
      </c>
      <c r="AT47" s="326">
        <f t="shared" si="5"/>
        <v>0</v>
      </c>
      <c r="AU47" s="326"/>
      <c r="AV47" s="326">
        <f t="shared" si="2"/>
        <v>0</v>
      </c>
      <c r="AW47" s="326">
        <f t="shared" si="6"/>
        <v>0</v>
      </c>
      <c r="AX47" s="288">
        <f t="shared" si="7"/>
        <v>0</v>
      </c>
      <c r="AY47" s="327">
        <f t="shared" si="8"/>
        <v>0</v>
      </c>
      <c r="AZ47" s="288">
        <f t="shared" si="4"/>
        <v>0</v>
      </c>
      <c r="BA47" s="288"/>
    </row>
    <row r="48" spans="1:53" s="246" customFormat="1" ht="15" x14ac:dyDescent="0.2">
      <c r="AS48" s="288" t="str">
        <f t="shared" si="1"/>
        <v/>
      </c>
      <c r="AT48" s="326">
        <f t="shared" si="5"/>
        <v>0</v>
      </c>
      <c r="AU48" s="326"/>
      <c r="AV48" s="326">
        <f t="shared" si="2"/>
        <v>0</v>
      </c>
      <c r="AW48" s="326">
        <f t="shared" si="6"/>
        <v>0</v>
      </c>
      <c r="AX48" s="288">
        <f t="shared" si="7"/>
        <v>0</v>
      </c>
      <c r="AY48" s="327">
        <f t="shared" si="8"/>
        <v>0</v>
      </c>
      <c r="AZ48" s="288">
        <f t="shared" si="4"/>
        <v>0</v>
      </c>
      <c r="BA48" s="288"/>
    </row>
    <row r="49" spans="45:53" s="246" customFormat="1" ht="15" x14ac:dyDescent="0.2">
      <c r="AS49" s="288" t="str">
        <f t="shared" si="1"/>
        <v/>
      </c>
      <c r="AT49" s="326">
        <f t="shared" si="5"/>
        <v>0</v>
      </c>
      <c r="AU49" s="326"/>
      <c r="AV49" s="326">
        <f t="shared" si="2"/>
        <v>0</v>
      </c>
      <c r="AW49" s="326">
        <f t="shared" si="6"/>
        <v>0</v>
      </c>
      <c r="AX49" s="288">
        <f t="shared" si="7"/>
        <v>0</v>
      </c>
      <c r="AY49" s="327">
        <f t="shared" si="8"/>
        <v>0</v>
      </c>
      <c r="AZ49" s="288">
        <f t="shared" si="4"/>
        <v>0</v>
      </c>
      <c r="BA49" s="288"/>
    </row>
    <row r="50" spans="45:53" s="246" customFormat="1" ht="15" x14ac:dyDescent="0.2">
      <c r="AS50" s="288" t="str">
        <f t="shared" si="1"/>
        <v/>
      </c>
      <c r="AT50" s="326">
        <f t="shared" si="5"/>
        <v>0</v>
      </c>
      <c r="AU50" s="326"/>
      <c r="AV50" s="326">
        <f t="shared" si="2"/>
        <v>0</v>
      </c>
      <c r="AW50" s="326">
        <f t="shared" si="6"/>
        <v>0</v>
      </c>
      <c r="AX50" s="288">
        <f t="shared" si="7"/>
        <v>0</v>
      </c>
      <c r="AY50" s="327">
        <f t="shared" si="8"/>
        <v>0</v>
      </c>
      <c r="AZ50" s="288">
        <f t="shared" si="4"/>
        <v>0</v>
      </c>
      <c r="BA50" s="288"/>
    </row>
    <row r="51" spans="45:53" s="246" customFormat="1" ht="15" x14ac:dyDescent="0.2">
      <c r="AS51" s="288" t="str">
        <f t="shared" si="1"/>
        <v/>
      </c>
      <c r="AT51" s="326">
        <f t="shared" si="5"/>
        <v>0</v>
      </c>
      <c r="AU51" s="326"/>
      <c r="AV51" s="326">
        <f t="shared" si="2"/>
        <v>0</v>
      </c>
      <c r="AW51" s="326">
        <f t="shared" si="6"/>
        <v>0</v>
      </c>
      <c r="AX51" s="288">
        <f t="shared" si="7"/>
        <v>0</v>
      </c>
      <c r="AY51" s="327">
        <f t="shared" si="8"/>
        <v>0</v>
      </c>
      <c r="AZ51" s="288">
        <f t="shared" si="4"/>
        <v>0</v>
      </c>
      <c r="BA51" s="288"/>
    </row>
    <row r="52" spans="45:53" s="246" customFormat="1" ht="15" x14ac:dyDescent="0.2">
      <c r="AS52" s="288" t="str">
        <f t="shared" si="1"/>
        <v/>
      </c>
      <c r="AT52" s="326">
        <f t="shared" si="5"/>
        <v>0</v>
      </c>
      <c r="AU52" s="326"/>
      <c r="AV52" s="326">
        <f t="shared" si="2"/>
        <v>0</v>
      </c>
      <c r="AW52" s="326">
        <f t="shared" si="6"/>
        <v>0</v>
      </c>
      <c r="AX52" s="288">
        <f t="shared" si="7"/>
        <v>0</v>
      </c>
      <c r="AY52" s="327">
        <f t="shared" si="8"/>
        <v>0</v>
      </c>
      <c r="AZ52" s="288">
        <f t="shared" si="4"/>
        <v>0</v>
      </c>
      <c r="BA52" s="288"/>
    </row>
    <row r="53" spans="45:53" s="246" customFormat="1" ht="15" x14ac:dyDescent="0.2">
      <c r="AS53" s="288" t="str">
        <f t="shared" si="1"/>
        <v/>
      </c>
      <c r="AT53" s="326">
        <f t="shared" si="5"/>
        <v>0</v>
      </c>
      <c r="AU53" s="326"/>
      <c r="AV53" s="326">
        <f t="shared" si="2"/>
        <v>0</v>
      </c>
      <c r="AW53" s="326">
        <f t="shared" si="6"/>
        <v>0</v>
      </c>
      <c r="AX53" s="288">
        <f t="shared" si="7"/>
        <v>0</v>
      </c>
      <c r="AY53" s="327">
        <f t="shared" si="8"/>
        <v>0</v>
      </c>
      <c r="AZ53" s="288">
        <f t="shared" si="4"/>
        <v>0</v>
      </c>
      <c r="BA53" s="288"/>
    </row>
    <row r="54" spans="45:53" s="246" customFormat="1" ht="15" x14ac:dyDescent="0.2">
      <c r="AS54" s="288" t="str">
        <f t="shared" si="1"/>
        <v/>
      </c>
      <c r="AT54" s="326">
        <f t="shared" si="5"/>
        <v>0</v>
      </c>
      <c r="AU54" s="326"/>
      <c r="AV54" s="326">
        <f t="shared" si="2"/>
        <v>0</v>
      </c>
      <c r="AW54" s="326">
        <f t="shared" si="6"/>
        <v>0</v>
      </c>
      <c r="AX54" s="288">
        <f t="shared" si="7"/>
        <v>0</v>
      </c>
      <c r="AY54" s="327">
        <f t="shared" si="8"/>
        <v>0</v>
      </c>
      <c r="AZ54" s="288">
        <f t="shared" si="4"/>
        <v>0</v>
      </c>
      <c r="BA54" s="288"/>
    </row>
    <row r="55" spans="45:53" s="246" customFormat="1" ht="15" x14ac:dyDescent="0.2">
      <c r="AS55" s="288" t="str">
        <f t="shared" si="1"/>
        <v/>
      </c>
      <c r="AT55" s="326">
        <f t="shared" si="5"/>
        <v>0</v>
      </c>
      <c r="AU55" s="326"/>
      <c r="AV55" s="326">
        <f t="shared" si="2"/>
        <v>0</v>
      </c>
      <c r="AW55" s="326">
        <f t="shared" si="6"/>
        <v>0</v>
      </c>
      <c r="AX55" s="288">
        <f t="shared" si="7"/>
        <v>0</v>
      </c>
      <c r="AY55" s="327">
        <f t="shared" si="8"/>
        <v>0</v>
      </c>
      <c r="AZ55" s="288">
        <f t="shared" si="4"/>
        <v>0</v>
      </c>
      <c r="BA55" s="288"/>
    </row>
    <row r="56" spans="45:53" s="246" customFormat="1" ht="15" x14ac:dyDescent="0.2">
      <c r="AS56" s="288" t="str">
        <f t="shared" si="1"/>
        <v/>
      </c>
      <c r="AT56" s="326">
        <f t="shared" si="5"/>
        <v>0</v>
      </c>
      <c r="AU56" s="326"/>
      <c r="AV56" s="326">
        <f t="shared" si="2"/>
        <v>0</v>
      </c>
      <c r="AW56" s="326">
        <f t="shared" si="6"/>
        <v>0</v>
      </c>
      <c r="AX56" s="288">
        <f t="shared" si="7"/>
        <v>0</v>
      </c>
      <c r="AY56" s="327">
        <f t="shared" si="8"/>
        <v>0</v>
      </c>
      <c r="AZ56" s="288">
        <f t="shared" si="4"/>
        <v>0</v>
      </c>
      <c r="BA56" s="288"/>
    </row>
    <row r="57" spans="45:53" s="246" customFormat="1" ht="15" x14ac:dyDescent="0.2">
      <c r="AS57" s="288" t="str">
        <f t="shared" si="1"/>
        <v/>
      </c>
      <c r="AT57" s="326">
        <f t="shared" si="5"/>
        <v>0</v>
      </c>
      <c r="AU57" s="326"/>
      <c r="AV57" s="326">
        <f t="shared" si="2"/>
        <v>0</v>
      </c>
      <c r="AW57" s="326">
        <f t="shared" si="6"/>
        <v>0</v>
      </c>
      <c r="AX57" s="288">
        <f t="shared" si="7"/>
        <v>0</v>
      </c>
      <c r="AY57" s="327">
        <f t="shared" si="8"/>
        <v>0</v>
      </c>
      <c r="AZ57" s="288">
        <f t="shared" si="4"/>
        <v>0</v>
      </c>
      <c r="BA57" s="288"/>
    </row>
    <row r="58" spans="45:53" s="246" customFormat="1" ht="15" x14ac:dyDescent="0.2">
      <c r="AS58" s="288" t="str">
        <f t="shared" si="1"/>
        <v/>
      </c>
      <c r="AT58" s="326">
        <f t="shared" si="5"/>
        <v>0</v>
      </c>
      <c r="AU58" s="326"/>
      <c r="AV58" s="326">
        <f t="shared" si="2"/>
        <v>0</v>
      </c>
      <c r="AW58" s="326">
        <f t="shared" si="6"/>
        <v>0</v>
      </c>
      <c r="AX58" s="288">
        <f t="shared" si="7"/>
        <v>0</v>
      </c>
      <c r="AY58" s="327">
        <f t="shared" si="8"/>
        <v>0</v>
      </c>
      <c r="AZ58" s="288">
        <f t="shared" si="4"/>
        <v>0</v>
      </c>
      <c r="BA58" s="288"/>
    </row>
    <row r="59" spans="45:53" s="246" customFormat="1" ht="15" x14ac:dyDescent="0.2">
      <c r="AS59" s="288" t="str">
        <f t="shared" si="1"/>
        <v/>
      </c>
      <c r="AT59" s="326">
        <f t="shared" si="5"/>
        <v>0</v>
      </c>
      <c r="AU59" s="326"/>
      <c r="AV59" s="326">
        <f t="shared" si="2"/>
        <v>0</v>
      </c>
      <c r="AW59" s="326">
        <f t="shared" si="6"/>
        <v>0</v>
      </c>
      <c r="AX59" s="288">
        <f t="shared" si="7"/>
        <v>0</v>
      </c>
      <c r="AY59" s="327">
        <f t="shared" si="8"/>
        <v>0</v>
      </c>
      <c r="AZ59" s="288">
        <f t="shared" si="4"/>
        <v>0</v>
      </c>
      <c r="BA59" s="288"/>
    </row>
    <row r="60" spans="45:53" s="246" customFormat="1" ht="15" x14ac:dyDescent="0.2">
      <c r="AS60" s="288" t="str">
        <f t="shared" si="1"/>
        <v/>
      </c>
      <c r="AT60" s="326">
        <f t="shared" si="5"/>
        <v>0</v>
      </c>
      <c r="AU60" s="326"/>
      <c r="AV60" s="326">
        <f t="shared" si="2"/>
        <v>0</v>
      </c>
      <c r="AW60" s="326">
        <f t="shared" si="6"/>
        <v>0</v>
      </c>
      <c r="AX60" s="288">
        <f t="shared" si="7"/>
        <v>0</v>
      </c>
      <c r="AY60" s="327">
        <f t="shared" si="8"/>
        <v>0</v>
      </c>
      <c r="AZ60" s="288">
        <f t="shared" si="4"/>
        <v>0</v>
      </c>
      <c r="BA60" s="288"/>
    </row>
    <row r="61" spans="45:53" s="246" customFormat="1" ht="15" x14ac:dyDescent="0.2">
      <c r="AS61" s="288" t="str">
        <f t="shared" si="1"/>
        <v/>
      </c>
      <c r="AT61" s="326">
        <f t="shared" si="5"/>
        <v>0</v>
      </c>
      <c r="AU61" s="326"/>
      <c r="AV61" s="326">
        <f t="shared" si="2"/>
        <v>0</v>
      </c>
      <c r="AW61" s="326">
        <f t="shared" si="6"/>
        <v>0</v>
      </c>
      <c r="AX61" s="288">
        <f t="shared" si="7"/>
        <v>0</v>
      </c>
      <c r="AY61" s="327">
        <f t="shared" si="8"/>
        <v>0</v>
      </c>
      <c r="AZ61" s="288">
        <f t="shared" si="4"/>
        <v>0</v>
      </c>
      <c r="BA61" s="288"/>
    </row>
    <row r="62" spans="45:53" s="246" customFormat="1" ht="15" x14ac:dyDescent="0.2">
      <c r="AS62" s="288" t="str">
        <f t="shared" si="1"/>
        <v/>
      </c>
      <c r="AT62" s="326">
        <f t="shared" si="5"/>
        <v>0</v>
      </c>
      <c r="AU62" s="326"/>
      <c r="AV62" s="326">
        <f t="shared" si="2"/>
        <v>0</v>
      </c>
      <c r="AW62" s="326">
        <f t="shared" si="6"/>
        <v>0</v>
      </c>
      <c r="AX62" s="288">
        <f t="shared" si="7"/>
        <v>0</v>
      </c>
      <c r="AY62" s="327">
        <f t="shared" si="8"/>
        <v>0</v>
      </c>
      <c r="AZ62" s="288">
        <f t="shared" si="4"/>
        <v>0</v>
      </c>
      <c r="BA62" s="288"/>
    </row>
    <row r="63" spans="45:53" s="246" customFormat="1" ht="15" x14ac:dyDescent="0.2">
      <c r="AS63" s="288" t="str">
        <f t="shared" si="1"/>
        <v/>
      </c>
      <c r="AT63" s="326">
        <f t="shared" si="5"/>
        <v>0</v>
      </c>
      <c r="AU63" s="326"/>
      <c r="AV63" s="326">
        <f t="shared" si="2"/>
        <v>0</v>
      </c>
      <c r="AW63" s="326">
        <f t="shared" si="6"/>
        <v>0</v>
      </c>
      <c r="AX63" s="288">
        <f t="shared" si="7"/>
        <v>0</v>
      </c>
      <c r="AY63" s="327">
        <f t="shared" si="8"/>
        <v>0</v>
      </c>
      <c r="AZ63" s="288">
        <f t="shared" si="4"/>
        <v>0</v>
      </c>
      <c r="BA63" s="288"/>
    </row>
    <row r="64" spans="45:53" s="246" customFormat="1" ht="15" x14ac:dyDescent="0.2">
      <c r="AS64" s="288" t="str">
        <f t="shared" si="1"/>
        <v/>
      </c>
      <c r="AT64" s="326">
        <f t="shared" si="5"/>
        <v>0</v>
      </c>
      <c r="AU64" s="326"/>
      <c r="AV64" s="326">
        <f t="shared" si="2"/>
        <v>0</v>
      </c>
      <c r="AW64" s="326">
        <f t="shared" si="6"/>
        <v>0</v>
      </c>
      <c r="AX64" s="288">
        <f t="shared" si="7"/>
        <v>0</v>
      </c>
      <c r="AY64" s="327">
        <f t="shared" si="8"/>
        <v>0</v>
      </c>
      <c r="AZ64" s="288">
        <f t="shared" si="4"/>
        <v>0</v>
      </c>
      <c r="BA64" s="288"/>
    </row>
    <row r="65" spans="45:53" s="246" customFormat="1" ht="15" x14ac:dyDescent="0.2">
      <c r="AS65" s="288" t="str">
        <f t="shared" si="1"/>
        <v/>
      </c>
      <c r="AT65" s="326">
        <f t="shared" si="5"/>
        <v>0</v>
      </c>
      <c r="AU65" s="326"/>
      <c r="AV65" s="326">
        <f t="shared" si="2"/>
        <v>0</v>
      </c>
      <c r="AW65" s="326">
        <f t="shared" si="6"/>
        <v>0</v>
      </c>
      <c r="AX65" s="288">
        <f t="shared" si="7"/>
        <v>0</v>
      </c>
      <c r="AY65" s="327">
        <f t="shared" si="8"/>
        <v>0</v>
      </c>
      <c r="AZ65" s="288">
        <f t="shared" si="4"/>
        <v>0</v>
      </c>
      <c r="BA65" s="288"/>
    </row>
    <row r="66" spans="45:53" s="246" customFormat="1" ht="15" x14ac:dyDescent="0.2">
      <c r="AS66" s="288" t="str">
        <f t="shared" si="1"/>
        <v/>
      </c>
      <c r="AT66" s="326">
        <f t="shared" si="5"/>
        <v>0</v>
      </c>
      <c r="AU66" s="326"/>
      <c r="AV66" s="326">
        <f t="shared" si="2"/>
        <v>0</v>
      </c>
      <c r="AW66" s="326">
        <f t="shared" si="6"/>
        <v>0</v>
      </c>
      <c r="AX66" s="288">
        <f t="shared" si="7"/>
        <v>0</v>
      </c>
      <c r="AY66" s="327">
        <f t="shared" si="8"/>
        <v>0</v>
      </c>
      <c r="AZ66" s="288">
        <f t="shared" si="4"/>
        <v>0</v>
      </c>
      <c r="BA66" s="288"/>
    </row>
    <row r="67" spans="45:53" s="246" customFormat="1" ht="15" x14ac:dyDescent="0.2">
      <c r="AS67" s="288" t="str">
        <f t="shared" si="1"/>
        <v/>
      </c>
      <c r="AT67" s="326">
        <f t="shared" si="5"/>
        <v>0</v>
      </c>
      <c r="AU67" s="326"/>
      <c r="AV67" s="326">
        <f t="shared" si="2"/>
        <v>0</v>
      </c>
      <c r="AW67" s="326">
        <f t="shared" si="6"/>
        <v>0</v>
      </c>
      <c r="AX67" s="288">
        <f t="shared" si="7"/>
        <v>0</v>
      </c>
      <c r="AY67" s="327">
        <f t="shared" si="8"/>
        <v>0</v>
      </c>
      <c r="AZ67" s="288">
        <f t="shared" si="4"/>
        <v>0</v>
      </c>
      <c r="BA67" s="288"/>
    </row>
    <row r="68" spans="45:53" s="246" customFormat="1" ht="15" x14ac:dyDescent="0.2">
      <c r="AS68" s="288" t="str">
        <f t="shared" si="1"/>
        <v/>
      </c>
      <c r="AT68" s="326">
        <f t="shared" si="5"/>
        <v>0</v>
      </c>
      <c r="AU68" s="326"/>
      <c r="AV68" s="326">
        <f t="shared" si="2"/>
        <v>0</v>
      </c>
      <c r="AW68" s="326">
        <f t="shared" si="6"/>
        <v>0</v>
      </c>
      <c r="AX68" s="288">
        <f t="shared" si="7"/>
        <v>0</v>
      </c>
      <c r="AY68" s="327">
        <f t="shared" si="8"/>
        <v>0</v>
      </c>
      <c r="AZ68" s="288">
        <f t="shared" si="4"/>
        <v>0</v>
      </c>
      <c r="BA68" s="288"/>
    </row>
    <row r="69" spans="45:53" s="246" customFormat="1" ht="15" x14ac:dyDescent="0.2">
      <c r="AS69" s="288" t="str">
        <f t="shared" ref="AS69:AS114" si="9">IF(AS68&lt;$D$14,AS68+1,"")</f>
        <v/>
      </c>
      <c r="AT69" s="326">
        <f t="shared" si="5"/>
        <v>0</v>
      </c>
      <c r="AU69" s="326"/>
      <c r="AV69" s="326">
        <f t="shared" si="2"/>
        <v>0</v>
      </c>
      <c r="AW69" s="326">
        <f t="shared" si="6"/>
        <v>0</v>
      </c>
      <c r="AX69" s="288">
        <f t="shared" si="7"/>
        <v>0</v>
      </c>
      <c r="AY69" s="327">
        <f t="shared" si="8"/>
        <v>0</v>
      </c>
      <c r="AZ69" s="288">
        <f t="shared" si="4"/>
        <v>0</v>
      </c>
      <c r="BA69" s="288"/>
    </row>
    <row r="70" spans="45:53" s="246" customFormat="1" ht="15" x14ac:dyDescent="0.2">
      <c r="AS70" s="288" t="str">
        <f t="shared" si="9"/>
        <v/>
      </c>
      <c r="AT70" s="326">
        <f t="shared" si="5"/>
        <v>0</v>
      </c>
      <c r="AU70" s="326"/>
      <c r="AV70" s="326">
        <f t="shared" si="2"/>
        <v>0</v>
      </c>
      <c r="AW70" s="326">
        <f t="shared" si="6"/>
        <v>0</v>
      </c>
      <c r="AX70" s="288">
        <f t="shared" si="7"/>
        <v>0</v>
      </c>
      <c r="AY70" s="327">
        <f t="shared" si="8"/>
        <v>0</v>
      </c>
      <c r="AZ70" s="288">
        <f t="shared" si="4"/>
        <v>0</v>
      </c>
      <c r="BA70" s="288"/>
    </row>
    <row r="71" spans="45:53" s="246" customFormat="1" ht="15" x14ac:dyDescent="0.2">
      <c r="AS71" s="288" t="str">
        <f t="shared" si="9"/>
        <v/>
      </c>
      <c r="AT71" s="326">
        <f t="shared" si="5"/>
        <v>0</v>
      </c>
      <c r="AU71" s="326"/>
      <c r="AV71" s="326">
        <f t="shared" si="2"/>
        <v>0</v>
      </c>
      <c r="AW71" s="326">
        <f t="shared" si="6"/>
        <v>0</v>
      </c>
      <c r="AX71" s="288">
        <f t="shared" si="7"/>
        <v>0</v>
      </c>
      <c r="AY71" s="327">
        <f t="shared" si="8"/>
        <v>0</v>
      </c>
      <c r="AZ71" s="288">
        <f t="shared" si="4"/>
        <v>0</v>
      </c>
      <c r="BA71" s="288"/>
    </row>
    <row r="72" spans="45:53" s="246" customFormat="1" ht="15" x14ac:dyDescent="0.2">
      <c r="AS72" s="288" t="str">
        <f t="shared" si="9"/>
        <v/>
      </c>
      <c r="AT72" s="326">
        <f t="shared" si="5"/>
        <v>0</v>
      </c>
      <c r="AU72" s="326"/>
      <c r="AV72" s="326">
        <f t="shared" ref="AV72:AV114" si="10">$D$10*AT72</f>
        <v>0</v>
      </c>
      <c r="AW72" s="326">
        <f t="shared" si="6"/>
        <v>0</v>
      </c>
      <c r="AX72" s="288">
        <f t="shared" si="7"/>
        <v>0</v>
      </c>
      <c r="AY72" s="327">
        <f t="shared" si="8"/>
        <v>0</v>
      </c>
      <c r="AZ72" s="288">
        <f t="shared" ref="AZ72:AZ114" si="11">IF(ISNUMBER(AS72),AY72/(1+$D$7)^AS72,0)</f>
        <v>0</v>
      </c>
      <c r="BA72" s="288"/>
    </row>
    <row r="73" spans="45:53" s="246" customFormat="1" ht="15" x14ac:dyDescent="0.2">
      <c r="AS73" s="288" t="str">
        <f t="shared" si="9"/>
        <v/>
      </c>
      <c r="AT73" s="326">
        <f t="shared" ref="AT73:AT114" si="12">IF(ISNUMBER(AS73),AW72,0)</f>
        <v>0</v>
      </c>
      <c r="AU73" s="326"/>
      <c r="AV73" s="326">
        <f t="shared" si="10"/>
        <v>0</v>
      </c>
      <c r="AW73" s="326">
        <f t="shared" ref="AW73:AW114" si="13">AT73</f>
        <v>0</v>
      </c>
      <c r="AX73" s="288">
        <f t="shared" si="7"/>
        <v>0</v>
      </c>
      <c r="AY73" s="327">
        <f t="shared" si="8"/>
        <v>0</v>
      </c>
      <c r="AZ73" s="288">
        <f t="shared" si="11"/>
        <v>0</v>
      </c>
      <c r="BA73" s="288"/>
    </row>
    <row r="74" spans="45:53" s="246" customFormat="1" ht="15" x14ac:dyDescent="0.2">
      <c r="AS74" s="288" t="str">
        <f t="shared" si="9"/>
        <v/>
      </c>
      <c r="AT74" s="326">
        <f t="shared" si="12"/>
        <v>0</v>
      </c>
      <c r="AU74" s="326"/>
      <c r="AV74" s="326">
        <f t="shared" si="10"/>
        <v>0</v>
      </c>
      <c r="AW74" s="326">
        <f t="shared" si="13"/>
        <v>0</v>
      </c>
      <c r="AX74" s="288">
        <f t="shared" si="7"/>
        <v>0</v>
      </c>
      <c r="AY74" s="327">
        <f t="shared" si="8"/>
        <v>0</v>
      </c>
      <c r="AZ74" s="288">
        <f t="shared" si="11"/>
        <v>0</v>
      </c>
      <c r="BA74" s="288"/>
    </row>
    <row r="75" spans="45:53" s="246" customFormat="1" ht="15" x14ac:dyDescent="0.2">
      <c r="AS75" s="288" t="str">
        <f t="shared" si="9"/>
        <v/>
      </c>
      <c r="AT75" s="326">
        <f t="shared" si="12"/>
        <v>0</v>
      </c>
      <c r="AU75" s="326"/>
      <c r="AV75" s="326">
        <f t="shared" si="10"/>
        <v>0</v>
      </c>
      <c r="AW75" s="326">
        <f t="shared" si="13"/>
        <v>0</v>
      </c>
      <c r="AX75" s="288">
        <f t="shared" si="7"/>
        <v>0</v>
      </c>
      <c r="AY75" s="327">
        <f t="shared" si="8"/>
        <v>0</v>
      </c>
      <c r="AZ75" s="288">
        <f t="shared" si="11"/>
        <v>0</v>
      </c>
      <c r="BA75" s="288"/>
    </row>
    <row r="76" spans="45:53" s="246" customFormat="1" ht="15" x14ac:dyDescent="0.2">
      <c r="AS76" s="288" t="str">
        <f t="shared" si="9"/>
        <v/>
      </c>
      <c r="AT76" s="326">
        <f t="shared" si="12"/>
        <v>0</v>
      </c>
      <c r="AU76" s="326"/>
      <c r="AV76" s="326">
        <f t="shared" si="10"/>
        <v>0</v>
      </c>
      <c r="AW76" s="326">
        <f t="shared" si="13"/>
        <v>0</v>
      </c>
      <c r="AX76" s="288">
        <f t="shared" si="7"/>
        <v>0</v>
      </c>
      <c r="AY76" s="327">
        <f t="shared" si="8"/>
        <v>0</v>
      </c>
      <c r="AZ76" s="288">
        <f t="shared" si="11"/>
        <v>0</v>
      </c>
      <c r="BA76" s="288"/>
    </row>
    <row r="77" spans="45:53" s="246" customFormat="1" ht="15" x14ac:dyDescent="0.2">
      <c r="AS77" s="288" t="str">
        <f t="shared" si="9"/>
        <v/>
      </c>
      <c r="AT77" s="326">
        <f t="shared" si="12"/>
        <v>0</v>
      </c>
      <c r="AU77" s="326"/>
      <c r="AV77" s="326">
        <f t="shared" si="10"/>
        <v>0</v>
      </c>
      <c r="AW77" s="326">
        <f t="shared" si="13"/>
        <v>0</v>
      </c>
      <c r="AX77" s="288">
        <f t="shared" si="7"/>
        <v>0</v>
      </c>
      <c r="AY77" s="327">
        <f t="shared" si="8"/>
        <v>0</v>
      </c>
      <c r="AZ77" s="288">
        <f t="shared" si="11"/>
        <v>0</v>
      </c>
      <c r="BA77" s="288"/>
    </row>
    <row r="78" spans="45:53" s="246" customFormat="1" ht="15" x14ac:dyDescent="0.2">
      <c r="AS78" s="288" t="str">
        <f t="shared" si="9"/>
        <v/>
      </c>
      <c r="AT78" s="326">
        <f t="shared" si="12"/>
        <v>0</v>
      </c>
      <c r="AU78" s="326"/>
      <c r="AV78" s="326">
        <f t="shared" si="10"/>
        <v>0</v>
      </c>
      <c r="AW78" s="326">
        <f t="shared" si="13"/>
        <v>0</v>
      </c>
      <c r="AX78" s="288">
        <f t="shared" si="7"/>
        <v>0</v>
      </c>
      <c r="AY78" s="327">
        <f t="shared" si="8"/>
        <v>0</v>
      </c>
      <c r="AZ78" s="288">
        <f t="shared" si="11"/>
        <v>0</v>
      </c>
      <c r="BA78" s="288"/>
    </row>
    <row r="79" spans="45:53" s="246" customFormat="1" ht="15" x14ac:dyDescent="0.2">
      <c r="AS79" s="288" t="str">
        <f t="shared" si="9"/>
        <v/>
      </c>
      <c r="AT79" s="326">
        <f t="shared" si="12"/>
        <v>0</v>
      </c>
      <c r="AU79" s="326"/>
      <c r="AV79" s="326">
        <f t="shared" si="10"/>
        <v>0</v>
      </c>
      <c r="AW79" s="326">
        <f t="shared" si="13"/>
        <v>0</v>
      </c>
      <c r="AX79" s="288">
        <f t="shared" si="7"/>
        <v>0</v>
      </c>
      <c r="AY79" s="327">
        <f t="shared" si="8"/>
        <v>0</v>
      </c>
      <c r="AZ79" s="288">
        <f t="shared" si="11"/>
        <v>0</v>
      </c>
      <c r="BA79" s="288"/>
    </row>
    <row r="80" spans="45:53" s="246" customFormat="1" ht="15" x14ac:dyDescent="0.2">
      <c r="AS80" s="288" t="str">
        <f t="shared" si="9"/>
        <v/>
      </c>
      <c r="AT80" s="326">
        <f t="shared" si="12"/>
        <v>0</v>
      </c>
      <c r="AU80" s="326"/>
      <c r="AV80" s="326">
        <f t="shared" si="10"/>
        <v>0</v>
      </c>
      <c r="AW80" s="326">
        <f t="shared" si="13"/>
        <v>0</v>
      </c>
      <c r="AX80" s="288">
        <f t="shared" si="7"/>
        <v>0</v>
      </c>
      <c r="AY80" s="327">
        <f t="shared" si="8"/>
        <v>0</v>
      </c>
      <c r="AZ80" s="288">
        <f t="shared" si="11"/>
        <v>0</v>
      </c>
      <c r="BA80" s="288"/>
    </row>
    <row r="81" spans="45:53" s="246" customFormat="1" ht="15" x14ac:dyDescent="0.2">
      <c r="AS81" s="288" t="str">
        <f t="shared" si="9"/>
        <v/>
      </c>
      <c r="AT81" s="326">
        <f t="shared" si="12"/>
        <v>0</v>
      </c>
      <c r="AU81" s="326"/>
      <c r="AV81" s="326">
        <f t="shared" si="10"/>
        <v>0</v>
      </c>
      <c r="AW81" s="326">
        <f t="shared" si="13"/>
        <v>0</v>
      </c>
      <c r="AX81" s="288">
        <f t="shared" si="7"/>
        <v>0</v>
      </c>
      <c r="AY81" s="327">
        <f t="shared" si="8"/>
        <v>0</v>
      </c>
      <c r="AZ81" s="288">
        <f t="shared" si="11"/>
        <v>0</v>
      </c>
      <c r="BA81" s="288"/>
    </row>
    <row r="82" spans="45:53" s="246" customFormat="1" ht="15" x14ac:dyDescent="0.2">
      <c r="AS82" s="288" t="str">
        <f t="shared" si="9"/>
        <v/>
      </c>
      <c r="AT82" s="326">
        <f t="shared" si="12"/>
        <v>0</v>
      </c>
      <c r="AU82" s="326"/>
      <c r="AV82" s="326">
        <f t="shared" si="10"/>
        <v>0</v>
      </c>
      <c r="AW82" s="326">
        <f t="shared" si="13"/>
        <v>0</v>
      </c>
      <c r="AX82" s="288">
        <f t="shared" ref="AX82:AX114" si="14">IF(ISNUMBER(AS83),SUM(AU82:AV82),SUM(AU82:AW82))</f>
        <v>0</v>
      </c>
      <c r="AY82" s="327">
        <f t="shared" si="8"/>
        <v>0</v>
      </c>
      <c r="AZ82" s="288">
        <f t="shared" si="11"/>
        <v>0</v>
      </c>
      <c r="BA82" s="288"/>
    </row>
    <row r="83" spans="45:53" s="246" customFormat="1" ht="15" x14ac:dyDescent="0.2">
      <c r="AS83" s="288" t="str">
        <f t="shared" si="9"/>
        <v/>
      </c>
      <c r="AT83" s="326">
        <f t="shared" si="12"/>
        <v>0</v>
      </c>
      <c r="AU83" s="326"/>
      <c r="AV83" s="326">
        <f t="shared" si="10"/>
        <v>0</v>
      </c>
      <c r="AW83" s="326">
        <f t="shared" si="13"/>
        <v>0</v>
      </c>
      <c r="AX83" s="288">
        <f t="shared" si="14"/>
        <v>0</v>
      </c>
      <c r="AY83" s="327">
        <f t="shared" si="8"/>
        <v>0</v>
      </c>
      <c r="AZ83" s="288">
        <f t="shared" si="11"/>
        <v>0</v>
      </c>
      <c r="BA83" s="288"/>
    </row>
    <row r="84" spans="45:53" s="246" customFormat="1" ht="15" x14ac:dyDescent="0.2">
      <c r="AS84" s="288" t="str">
        <f t="shared" si="9"/>
        <v/>
      </c>
      <c r="AT84" s="326">
        <f t="shared" si="12"/>
        <v>0</v>
      </c>
      <c r="AU84" s="326"/>
      <c r="AV84" s="326">
        <f t="shared" si="10"/>
        <v>0</v>
      </c>
      <c r="AW84" s="326">
        <f t="shared" si="13"/>
        <v>0</v>
      </c>
      <c r="AX84" s="288">
        <f t="shared" si="14"/>
        <v>0</v>
      </c>
      <c r="AY84" s="327">
        <f t="shared" si="8"/>
        <v>0</v>
      </c>
      <c r="AZ84" s="288">
        <f t="shared" si="11"/>
        <v>0</v>
      </c>
      <c r="BA84" s="288"/>
    </row>
    <row r="85" spans="45:53" s="246" customFormat="1" ht="15" x14ac:dyDescent="0.2">
      <c r="AS85" s="288" t="str">
        <f t="shared" si="9"/>
        <v/>
      </c>
      <c r="AT85" s="326">
        <f t="shared" si="12"/>
        <v>0</v>
      </c>
      <c r="AU85" s="326"/>
      <c r="AV85" s="326">
        <f t="shared" si="10"/>
        <v>0</v>
      </c>
      <c r="AW85" s="326">
        <f t="shared" si="13"/>
        <v>0</v>
      </c>
      <c r="AX85" s="288">
        <f t="shared" si="14"/>
        <v>0</v>
      </c>
      <c r="AY85" s="327">
        <f t="shared" si="8"/>
        <v>0</v>
      </c>
      <c r="AZ85" s="288">
        <f t="shared" si="11"/>
        <v>0</v>
      </c>
      <c r="BA85" s="288"/>
    </row>
    <row r="86" spans="45:53" s="246" customFormat="1" ht="15" x14ac:dyDescent="0.2">
      <c r="AS86" s="288" t="str">
        <f t="shared" si="9"/>
        <v/>
      </c>
      <c r="AT86" s="326">
        <f t="shared" si="12"/>
        <v>0</v>
      </c>
      <c r="AU86" s="326"/>
      <c r="AV86" s="326">
        <f t="shared" si="10"/>
        <v>0</v>
      </c>
      <c r="AW86" s="326">
        <f t="shared" si="13"/>
        <v>0</v>
      </c>
      <c r="AX86" s="288">
        <f t="shared" si="14"/>
        <v>0</v>
      </c>
      <c r="AY86" s="327">
        <f t="shared" si="8"/>
        <v>0</v>
      </c>
      <c r="AZ86" s="288">
        <f t="shared" si="11"/>
        <v>0</v>
      </c>
      <c r="BA86" s="288"/>
    </row>
    <row r="87" spans="45:53" s="246" customFormat="1" ht="15" x14ac:dyDescent="0.2">
      <c r="AS87" s="288" t="str">
        <f t="shared" si="9"/>
        <v/>
      </c>
      <c r="AT87" s="326">
        <f t="shared" si="12"/>
        <v>0</v>
      </c>
      <c r="AU87" s="326"/>
      <c r="AV87" s="326">
        <f t="shared" si="10"/>
        <v>0</v>
      </c>
      <c r="AW87" s="326">
        <f t="shared" si="13"/>
        <v>0</v>
      </c>
      <c r="AX87" s="288">
        <f t="shared" si="14"/>
        <v>0</v>
      </c>
      <c r="AY87" s="327">
        <f t="shared" si="8"/>
        <v>0</v>
      </c>
      <c r="AZ87" s="288">
        <f t="shared" si="11"/>
        <v>0</v>
      </c>
      <c r="BA87" s="288"/>
    </row>
    <row r="88" spans="45:53" s="246" customFormat="1" ht="15" x14ac:dyDescent="0.2">
      <c r="AS88" s="288" t="str">
        <f t="shared" si="9"/>
        <v/>
      </c>
      <c r="AT88" s="326">
        <f t="shared" si="12"/>
        <v>0</v>
      </c>
      <c r="AU88" s="326"/>
      <c r="AV88" s="326">
        <f t="shared" si="10"/>
        <v>0</v>
      </c>
      <c r="AW88" s="326">
        <f t="shared" si="13"/>
        <v>0</v>
      </c>
      <c r="AX88" s="288">
        <f t="shared" si="14"/>
        <v>0</v>
      </c>
      <c r="AY88" s="327">
        <f t="shared" si="8"/>
        <v>0</v>
      </c>
      <c r="AZ88" s="288">
        <f t="shared" si="11"/>
        <v>0</v>
      </c>
      <c r="BA88" s="288"/>
    </row>
    <row r="89" spans="45:53" s="246" customFormat="1" ht="15" x14ac:dyDescent="0.2">
      <c r="AS89" s="288" t="str">
        <f t="shared" si="9"/>
        <v/>
      </c>
      <c r="AT89" s="326">
        <f t="shared" si="12"/>
        <v>0</v>
      </c>
      <c r="AU89" s="326"/>
      <c r="AV89" s="326">
        <f t="shared" si="10"/>
        <v>0</v>
      </c>
      <c r="AW89" s="326">
        <f t="shared" si="13"/>
        <v>0</v>
      </c>
      <c r="AX89" s="288">
        <f t="shared" si="14"/>
        <v>0</v>
      </c>
      <c r="AY89" s="327">
        <f t="shared" si="8"/>
        <v>0</v>
      </c>
      <c r="AZ89" s="288">
        <f t="shared" si="11"/>
        <v>0</v>
      </c>
      <c r="BA89" s="288"/>
    </row>
    <row r="90" spans="45:53" s="246" customFormat="1" ht="15" x14ac:dyDescent="0.2">
      <c r="AS90" s="288" t="str">
        <f t="shared" si="9"/>
        <v/>
      </c>
      <c r="AT90" s="326">
        <f t="shared" si="12"/>
        <v>0</v>
      </c>
      <c r="AU90" s="326"/>
      <c r="AV90" s="326">
        <f t="shared" si="10"/>
        <v>0</v>
      </c>
      <c r="AW90" s="326">
        <f t="shared" si="13"/>
        <v>0</v>
      </c>
      <c r="AX90" s="288">
        <f t="shared" si="14"/>
        <v>0</v>
      </c>
      <c r="AY90" s="327">
        <f t="shared" si="8"/>
        <v>0</v>
      </c>
      <c r="AZ90" s="288">
        <f t="shared" si="11"/>
        <v>0</v>
      </c>
      <c r="BA90" s="288"/>
    </row>
    <row r="91" spans="45:53" s="246" customFormat="1" ht="15" x14ac:dyDescent="0.2">
      <c r="AS91" s="288" t="str">
        <f t="shared" si="9"/>
        <v/>
      </c>
      <c r="AT91" s="326">
        <f t="shared" si="12"/>
        <v>0</v>
      </c>
      <c r="AU91" s="326"/>
      <c r="AV91" s="326">
        <f t="shared" si="10"/>
        <v>0</v>
      </c>
      <c r="AW91" s="326">
        <f t="shared" si="13"/>
        <v>0</v>
      </c>
      <c r="AX91" s="288">
        <f t="shared" si="14"/>
        <v>0</v>
      </c>
      <c r="AY91" s="327">
        <f t="shared" si="8"/>
        <v>0</v>
      </c>
      <c r="AZ91" s="288">
        <f t="shared" si="11"/>
        <v>0</v>
      </c>
      <c r="BA91" s="288"/>
    </row>
    <row r="92" spans="45:53" s="246" customFormat="1" ht="15" x14ac:dyDescent="0.2">
      <c r="AS92" s="288" t="str">
        <f t="shared" si="9"/>
        <v/>
      </c>
      <c r="AT92" s="326">
        <f t="shared" si="12"/>
        <v>0</v>
      </c>
      <c r="AU92" s="326"/>
      <c r="AV92" s="326">
        <f t="shared" si="10"/>
        <v>0</v>
      </c>
      <c r="AW92" s="326">
        <f t="shared" si="13"/>
        <v>0</v>
      </c>
      <c r="AX92" s="288">
        <f t="shared" si="14"/>
        <v>0</v>
      </c>
      <c r="AY92" s="327">
        <f t="shared" si="8"/>
        <v>0</v>
      </c>
      <c r="AZ92" s="288">
        <f t="shared" si="11"/>
        <v>0</v>
      </c>
      <c r="BA92" s="288"/>
    </row>
    <row r="93" spans="45:53" s="246" customFormat="1" ht="15" x14ac:dyDescent="0.2">
      <c r="AS93" s="288" t="str">
        <f t="shared" si="9"/>
        <v/>
      </c>
      <c r="AT93" s="326">
        <f t="shared" si="12"/>
        <v>0</v>
      </c>
      <c r="AU93" s="326"/>
      <c r="AV93" s="326">
        <f t="shared" si="10"/>
        <v>0</v>
      </c>
      <c r="AW93" s="326">
        <f t="shared" si="13"/>
        <v>0</v>
      </c>
      <c r="AX93" s="288">
        <f t="shared" si="14"/>
        <v>0</v>
      </c>
      <c r="AY93" s="327">
        <f t="shared" si="8"/>
        <v>0</v>
      </c>
      <c r="AZ93" s="288">
        <f t="shared" si="11"/>
        <v>0</v>
      </c>
      <c r="BA93" s="288"/>
    </row>
    <row r="94" spans="45:53" s="246" customFormat="1" ht="15" x14ac:dyDescent="0.2">
      <c r="AS94" s="288" t="str">
        <f t="shared" si="9"/>
        <v/>
      </c>
      <c r="AT94" s="326">
        <f t="shared" si="12"/>
        <v>0</v>
      </c>
      <c r="AU94" s="326"/>
      <c r="AV94" s="326">
        <f t="shared" si="10"/>
        <v>0</v>
      </c>
      <c r="AW94" s="326">
        <f t="shared" si="13"/>
        <v>0</v>
      </c>
      <c r="AX94" s="288">
        <f t="shared" si="14"/>
        <v>0</v>
      </c>
      <c r="AY94" s="327">
        <f t="shared" si="8"/>
        <v>0</v>
      </c>
      <c r="AZ94" s="288">
        <f t="shared" si="11"/>
        <v>0</v>
      </c>
      <c r="BA94" s="288"/>
    </row>
    <row r="95" spans="45:53" s="246" customFormat="1" ht="15" x14ac:dyDescent="0.2">
      <c r="AS95" s="288" t="str">
        <f t="shared" si="9"/>
        <v/>
      </c>
      <c r="AT95" s="326">
        <f t="shared" si="12"/>
        <v>0</v>
      </c>
      <c r="AU95" s="326"/>
      <c r="AV95" s="326">
        <f t="shared" si="10"/>
        <v>0</v>
      </c>
      <c r="AW95" s="326">
        <f t="shared" si="13"/>
        <v>0</v>
      </c>
      <c r="AX95" s="288">
        <f t="shared" si="14"/>
        <v>0</v>
      </c>
      <c r="AY95" s="327">
        <f t="shared" si="8"/>
        <v>0</v>
      </c>
      <c r="AZ95" s="288">
        <f t="shared" si="11"/>
        <v>0</v>
      </c>
      <c r="BA95" s="288"/>
    </row>
    <row r="96" spans="45:53" s="246" customFormat="1" ht="15" x14ac:dyDescent="0.2">
      <c r="AS96" s="288" t="str">
        <f t="shared" si="9"/>
        <v/>
      </c>
      <c r="AT96" s="326">
        <f t="shared" si="12"/>
        <v>0</v>
      </c>
      <c r="AU96" s="326"/>
      <c r="AV96" s="326">
        <f t="shared" si="10"/>
        <v>0</v>
      </c>
      <c r="AW96" s="326">
        <f t="shared" si="13"/>
        <v>0</v>
      </c>
      <c r="AX96" s="288">
        <f t="shared" si="14"/>
        <v>0</v>
      </c>
      <c r="AY96" s="327">
        <f t="shared" si="8"/>
        <v>0</v>
      </c>
      <c r="AZ96" s="288">
        <f t="shared" si="11"/>
        <v>0</v>
      </c>
      <c r="BA96" s="288"/>
    </row>
    <row r="97" spans="45:53" s="246" customFormat="1" ht="15" x14ac:dyDescent="0.2">
      <c r="AS97" s="288" t="str">
        <f t="shared" si="9"/>
        <v/>
      </c>
      <c r="AT97" s="326">
        <f t="shared" si="12"/>
        <v>0</v>
      </c>
      <c r="AU97" s="326"/>
      <c r="AV97" s="326">
        <f t="shared" si="10"/>
        <v>0</v>
      </c>
      <c r="AW97" s="326">
        <f t="shared" si="13"/>
        <v>0</v>
      </c>
      <c r="AX97" s="288">
        <f t="shared" si="14"/>
        <v>0</v>
      </c>
      <c r="AY97" s="327">
        <f t="shared" si="8"/>
        <v>0</v>
      </c>
      <c r="AZ97" s="288">
        <f t="shared" si="11"/>
        <v>0</v>
      </c>
      <c r="BA97" s="288"/>
    </row>
    <row r="98" spans="45:53" s="246" customFormat="1" ht="15" x14ac:dyDescent="0.2">
      <c r="AS98" s="288" t="str">
        <f t="shared" si="9"/>
        <v/>
      </c>
      <c r="AT98" s="326">
        <f t="shared" si="12"/>
        <v>0</v>
      </c>
      <c r="AU98" s="326"/>
      <c r="AV98" s="326">
        <f t="shared" si="10"/>
        <v>0</v>
      </c>
      <c r="AW98" s="326">
        <f t="shared" si="13"/>
        <v>0</v>
      </c>
      <c r="AX98" s="288">
        <f t="shared" si="14"/>
        <v>0</v>
      </c>
      <c r="AY98" s="327">
        <f t="shared" si="8"/>
        <v>0</v>
      </c>
      <c r="AZ98" s="288">
        <f t="shared" si="11"/>
        <v>0</v>
      </c>
      <c r="BA98" s="288"/>
    </row>
    <row r="99" spans="45:53" s="246" customFormat="1" ht="15" x14ac:dyDescent="0.2">
      <c r="AS99" s="288" t="str">
        <f t="shared" si="9"/>
        <v/>
      </c>
      <c r="AT99" s="326">
        <f t="shared" si="12"/>
        <v>0</v>
      </c>
      <c r="AU99" s="326"/>
      <c r="AV99" s="326">
        <f t="shared" si="10"/>
        <v>0</v>
      </c>
      <c r="AW99" s="326">
        <f t="shared" si="13"/>
        <v>0</v>
      </c>
      <c r="AX99" s="288">
        <f t="shared" si="14"/>
        <v>0</v>
      </c>
      <c r="AY99" s="327">
        <f t="shared" si="8"/>
        <v>0</v>
      </c>
      <c r="AZ99" s="288">
        <f t="shared" si="11"/>
        <v>0</v>
      </c>
      <c r="BA99" s="288"/>
    </row>
    <row r="100" spans="45:53" s="246" customFormat="1" ht="15" x14ac:dyDescent="0.2">
      <c r="AS100" s="288" t="str">
        <f t="shared" si="9"/>
        <v/>
      </c>
      <c r="AT100" s="326">
        <f t="shared" si="12"/>
        <v>0</v>
      </c>
      <c r="AU100" s="326"/>
      <c r="AV100" s="326">
        <f t="shared" si="10"/>
        <v>0</v>
      </c>
      <c r="AW100" s="326">
        <f t="shared" si="13"/>
        <v>0</v>
      </c>
      <c r="AX100" s="288">
        <f t="shared" si="14"/>
        <v>0</v>
      </c>
      <c r="AY100" s="327">
        <f t="shared" si="8"/>
        <v>0</v>
      </c>
      <c r="AZ100" s="288">
        <f t="shared" si="11"/>
        <v>0</v>
      </c>
      <c r="BA100" s="288"/>
    </row>
    <row r="101" spans="45:53" s="246" customFormat="1" ht="15" x14ac:dyDescent="0.2">
      <c r="AS101" s="288" t="str">
        <f t="shared" si="9"/>
        <v/>
      </c>
      <c r="AT101" s="326">
        <f t="shared" si="12"/>
        <v>0</v>
      </c>
      <c r="AU101" s="326"/>
      <c r="AV101" s="326">
        <f t="shared" si="10"/>
        <v>0</v>
      </c>
      <c r="AW101" s="326">
        <f t="shared" si="13"/>
        <v>0</v>
      </c>
      <c r="AX101" s="288">
        <f t="shared" si="14"/>
        <v>0</v>
      </c>
      <c r="AY101" s="327">
        <f t="shared" si="8"/>
        <v>0</v>
      </c>
      <c r="AZ101" s="288">
        <f t="shared" si="11"/>
        <v>0</v>
      </c>
      <c r="BA101" s="288"/>
    </row>
    <row r="102" spans="45:53" s="246" customFormat="1" ht="15" x14ac:dyDescent="0.2">
      <c r="AS102" s="288" t="str">
        <f t="shared" si="9"/>
        <v/>
      </c>
      <c r="AT102" s="326">
        <f t="shared" si="12"/>
        <v>0</v>
      </c>
      <c r="AU102" s="326"/>
      <c r="AV102" s="326">
        <f t="shared" si="10"/>
        <v>0</v>
      </c>
      <c r="AW102" s="326">
        <f t="shared" si="13"/>
        <v>0</v>
      </c>
      <c r="AX102" s="288">
        <f t="shared" si="14"/>
        <v>0</v>
      </c>
      <c r="AY102" s="327">
        <f t="shared" si="8"/>
        <v>0</v>
      </c>
      <c r="AZ102" s="288">
        <f t="shared" si="11"/>
        <v>0</v>
      </c>
      <c r="BA102" s="288"/>
    </row>
    <row r="103" spans="45:53" s="246" customFormat="1" ht="15" x14ac:dyDescent="0.2">
      <c r="AS103" s="288" t="str">
        <f t="shared" si="9"/>
        <v/>
      </c>
      <c r="AT103" s="326">
        <f t="shared" si="12"/>
        <v>0</v>
      </c>
      <c r="AU103" s="326"/>
      <c r="AV103" s="326">
        <f t="shared" si="10"/>
        <v>0</v>
      </c>
      <c r="AW103" s="326">
        <f t="shared" si="13"/>
        <v>0</v>
      </c>
      <c r="AX103" s="288">
        <f t="shared" si="14"/>
        <v>0</v>
      </c>
      <c r="AY103" s="327">
        <f t="shared" ref="AY103:AY114" si="15">LN(AX103+$J$37)-LN($J$37)</f>
        <v>0</v>
      </c>
      <c r="AZ103" s="288">
        <f t="shared" si="11"/>
        <v>0</v>
      </c>
      <c r="BA103" s="288"/>
    </row>
    <row r="104" spans="45:53" s="246" customFormat="1" ht="15" x14ac:dyDescent="0.2">
      <c r="AS104" s="288" t="str">
        <f t="shared" si="9"/>
        <v/>
      </c>
      <c r="AT104" s="326">
        <f t="shared" si="12"/>
        <v>0</v>
      </c>
      <c r="AU104" s="326"/>
      <c r="AV104" s="326">
        <f t="shared" si="10"/>
        <v>0</v>
      </c>
      <c r="AW104" s="326">
        <f t="shared" si="13"/>
        <v>0</v>
      </c>
      <c r="AX104" s="288">
        <f t="shared" si="14"/>
        <v>0</v>
      </c>
      <c r="AY104" s="327">
        <f t="shared" si="15"/>
        <v>0</v>
      </c>
      <c r="AZ104" s="288">
        <f t="shared" si="11"/>
        <v>0</v>
      </c>
      <c r="BA104" s="288"/>
    </row>
    <row r="105" spans="45:53" s="246" customFormat="1" ht="15" x14ac:dyDescent="0.2">
      <c r="AS105" s="288" t="str">
        <f t="shared" si="9"/>
        <v/>
      </c>
      <c r="AT105" s="326">
        <f t="shared" si="12"/>
        <v>0</v>
      </c>
      <c r="AU105" s="326"/>
      <c r="AV105" s="326">
        <f t="shared" si="10"/>
        <v>0</v>
      </c>
      <c r="AW105" s="326">
        <f t="shared" si="13"/>
        <v>0</v>
      </c>
      <c r="AX105" s="288">
        <f t="shared" si="14"/>
        <v>0</v>
      </c>
      <c r="AY105" s="327">
        <f t="shared" si="15"/>
        <v>0</v>
      </c>
      <c r="AZ105" s="288">
        <f t="shared" si="11"/>
        <v>0</v>
      </c>
      <c r="BA105" s="288"/>
    </row>
    <row r="106" spans="45:53" s="246" customFormat="1" ht="15" x14ac:dyDescent="0.2">
      <c r="AS106" s="288" t="str">
        <f t="shared" si="9"/>
        <v/>
      </c>
      <c r="AT106" s="326">
        <f t="shared" si="12"/>
        <v>0</v>
      </c>
      <c r="AU106" s="326"/>
      <c r="AV106" s="326">
        <f t="shared" si="10"/>
        <v>0</v>
      </c>
      <c r="AW106" s="326">
        <f t="shared" si="13"/>
        <v>0</v>
      </c>
      <c r="AX106" s="288">
        <f t="shared" si="14"/>
        <v>0</v>
      </c>
      <c r="AY106" s="327">
        <f t="shared" si="15"/>
        <v>0</v>
      </c>
      <c r="AZ106" s="288">
        <f t="shared" si="11"/>
        <v>0</v>
      </c>
      <c r="BA106" s="288"/>
    </row>
    <row r="107" spans="45:53" s="246" customFormat="1" ht="15" x14ac:dyDescent="0.2">
      <c r="AS107" s="288" t="str">
        <f t="shared" si="9"/>
        <v/>
      </c>
      <c r="AT107" s="326">
        <f t="shared" si="12"/>
        <v>0</v>
      </c>
      <c r="AU107" s="326"/>
      <c r="AV107" s="326">
        <f t="shared" si="10"/>
        <v>0</v>
      </c>
      <c r="AW107" s="326">
        <f t="shared" si="13"/>
        <v>0</v>
      </c>
      <c r="AX107" s="288">
        <f t="shared" si="14"/>
        <v>0</v>
      </c>
      <c r="AY107" s="327">
        <f t="shared" si="15"/>
        <v>0</v>
      </c>
      <c r="AZ107" s="288">
        <f t="shared" si="11"/>
        <v>0</v>
      </c>
      <c r="BA107" s="288"/>
    </row>
    <row r="108" spans="45:53" s="246" customFormat="1" ht="15" x14ac:dyDescent="0.2">
      <c r="AS108" s="288" t="str">
        <f t="shared" si="9"/>
        <v/>
      </c>
      <c r="AT108" s="326">
        <f t="shared" si="12"/>
        <v>0</v>
      </c>
      <c r="AU108" s="326"/>
      <c r="AV108" s="326">
        <f t="shared" si="10"/>
        <v>0</v>
      </c>
      <c r="AW108" s="326">
        <f t="shared" si="13"/>
        <v>0</v>
      </c>
      <c r="AX108" s="288">
        <f t="shared" si="14"/>
        <v>0</v>
      </c>
      <c r="AY108" s="327">
        <f t="shared" si="15"/>
        <v>0</v>
      </c>
      <c r="AZ108" s="288">
        <f t="shared" si="11"/>
        <v>0</v>
      </c>
      <c r="BA108" s="288"/>
    </row>
    <row r="109" spans="45:53" s="246" customFormat="1" ht="15" x14ac:dyDescent="0.2">
      <c r="AS109" s="288" t="str">
        <f t="shared" si="9"/>
        <v/>
      </c>
      <c r="AT109" s="326">
        <f t="shared" si="12"/>
        <v>0</v>
      </c>
      <c r="AU109" s="326"/>
      <c r="AV109" s="326">
        <f t="shared" si="10"/>
        <v>0</v>
      </c>
      <c r="AW109" s="326">
        <f t="shared" si="13"/>
        <v>0</v>
      </c>
      <c r="AX109" s="288">
        <f t="shared" si="14"/>
        <v>0</v>
      </c>
      <c r="AY109" s="327">
        <f t="shared" si="15"/>
        <v>0</v>
      </c>
      <c r="AZ109" s="288">
        <f t="shared" si="11"/>
        <v>0</v>
      </c>
      <c r="BA109" s="288"/>
    </row>
    <row r="110" spans="45:53" s="246" customFormat="1" ht="15" x14ac:dyDescent="0.2">
      <c r="AS110" s="288" t="str">
        <f t="shared" si="9"/>
        <v/>
      </c>
      <c r="AT110" s="326">
        <f t="shared" si="12"/>
        <v>0</v>
      </c>
      <c r="AU110" s="326"/>
      <c r="AV110" s="326">
        <f t="shared" si="10"/>
        <v>0</v>
      </c>
      <c r="AW110" s="326">
        <f t="shared" si="13"/>
        <v>0</v>
      </c>
      <c r="AX110" s="288">
        <f t="shared" si="14"/>
        <v>0</v>
      </c>
      <c r="AY110" s="327">
        <f t="shared" si="15"/>
        <v>0</v>
      </c>
      <c r="AZ110" s="288">
        <f t="shared" si="11"/>
        <v>0</v>
      </c>
      <c r="BA110" s="288"/>
    </row>
    <row r="111" spans="45:53" s="246" customFormat="1" ht="15" x14ac:dyDescent="0.2">
      <c r="AS111" s="288" t="str">
        <f t="shared" si="9"/>
        <v/>
      </c>
      <c r="AT111" s="326">
        <f t="shared" si="12"/>
        <v>0</v>
      </c>
      <c r="AU111" s="326"/>
      <c r="AV111" s="326">
        <f t="shared" si="10"/>
        <v>0</v>
      </c>
      <c r="AW111" s="326">
        <f t="shared" si="13"/>
        <v>0</v>
      </c>
      <c r="AX111" s="288">
        <f t="shared" si="14"/>
        <v>0</v>
      </c>
      <c r="AY111" s="327">
        <f t="shared" si="15"/>
        <v>0</v>
      </c>
      <c r="AZ111" s="288">
        <f t="shared" si="11"/>
        <v>0</v>
      </c>
      <c r="BA111" s="288"/>
    </row>
    <row r="112" spans="45:53" s="246" customFormat="1" ht="15" x14ac:dyDescent="0.2">
      <c r="AS112" s="288" t="str">
        <f t="shared" si="9"/>
        <v/>
      </c>
      <c r="AT112" s="326">
        <f t="shared" si="12"/>
        <v>0</v>
      </c>
      <c r="AU112" s="326"/>
      <c r="AV112" s="326">
        <f t="shared" si="10"/>
        <v>0</v>
      </c>
      <c r="AW112" s="326">
        <f t="shared" si="13"/>
        <v>0</v>
      </c>
      <c r="AX112" s="288">
        <f t="shared" si="14"/>
        <v>0</v>
      </c>
      <c r="AY112" s="327">
        <f t="shared" si="15"/>
        <v>0</v>
      </c>
      <c r="AZ112" s="288">
        <f t="shared" si="11"/>
        <v>0</v>
      </c>
      <c r="BA112" s="288"/>
    </row>
    <row r="113" spans="45:53" s="246" customFormat="1" ht="15" x14ac:dyDescent="0.2">
      <c r="AS113" s="288" t="str">
        <f t="shared" si="9"/>
        <v/>
      </c>
      <c r="AT113" s="326">
        <f t="shared" si="12"/>
        <v>0</v>
      </c>
      <c r="AU113" s="326"/>
      <c r="AV113" s="326">
        <f t="shared" si="10"/>
        <v>0</v>
      </c>
      <c r="AW113" s="326">
        <f t="shared" si="13"/>
        <v>0</v>
      </c>
      <c r="AX113" s="288">
        <f t="shared" si="14"/>
        <v>0</v>
      </c>
      <c r="AY113" s="327">
        <f t="shared" si="15"/>
        <v>0</v>
      </c>
      <c r="AZ113" s="288">
        <f t="shared" si="11"/>
        <v>0</v>
      </c>
      <c r="BA113" s="288"/>
    </row>
    <row r="114" spans="45:53" s="246" customFormat="1" ht="15" x14ac:dyDescent="0.2">
      <c r="AS114" s="288" t="str">
        <f t="shared" si="9"/>
        <v/>
      </c>
      <c r="AT114" s="326">
        <f t="shared" si="12"/>
        <v>0</v>
      </c>
      <c r="AU114" s="326"/>
      <c r="AV114" s="326">
        <f t="shared" si="10"/>
        <v>0</v>
      </c>
      <c r="AW114" s="326">
        <f t="shared" si="13"/>
        <v>0</v>
      </c>
      <c r="AX114" s="288">
        <f t="shared" si="14"/>
        <v>0</v>
      </c>
      <c r="AY114" s="327">
        <f t="shared" si="15"/>
        <v>0</v>
      </c>
      <c r="AZ114" s="288">
        <f t="shared" si="11"/>
        <v>0</v>
      </c>
      <c r="BA114" s="288"/>
    </row>
    <row r="115" spans="45:53" s="246" customFormat="1" ht="15" x14ac:dyDescent="0.2">
      <c r="BA115" s="288"/>
    </row>
    <row r="116" spans="45:53" s="246" customFormat="1" ht="15" x14ac:dyDescent="0.2">
      <c r="BA116" s="288"/>
    </row>
    <row r="117" spans="45:53" s="246" customFormat="1" ht="15" x14ac:dyDescent="0.2">
      <c r="BA117" s="288"/>
    </row>
    <row r="118" spans="45:53" s="246" customFormat="1" ht="15" x14ac:dyDescent="0.2">
      <c r="BA118" s="288"/>
    </row>
    <row r="119" spans="45:53" ht="15" x14ac:dyDescent="0.2">
      <c r="BA119" s="232"/>
    </row>
  </sheetData>
  <mergeCells count="68">
    <mergeCell ref="J37:N37"/>
    <mergeCell ref="O37:P37"/>
    <mergeCell ref="D38:G38"/>
    <mergeCell ref="R38:T38"/>
    <mergeCell ref="B23:E26"/>
    <mergeCell ref="F31:F34"/>
    <mergeCell ref="R33:V33"/>
    <mergeCell ref="B36:B38"/>
    <mergeCell ref="D36:F36"/>
    <mergeCell ref="H36:I36"/>
    <mergeCell ref="J36:N36"/>
    <mergeCell ref="O36:P36"/>
    <mergeCell ref="D37:F37"/>
    <mergeCell ref="H37:I37"/>
    <mergeCell ref="L17:M17"/>
    <mergeCell ref="T17:U17"/>
    <mergeCell ref="T18:U18"/>
    <mergeCell ref="T19:U19"/>
    <mergeCell ref="F21:F24"/>
    <mergeCell ref="Q21:Q25"/>
    <mergeCell ref="R21:S22"/>
    <mergeCell ref="U21:W22"/>
    <mergeCell ref="Q13:Q14"/>
    <mergeCell ref="T13:U13"/>
    <mergeCell ref="V13:W13"/>
    <mergeCell ref="B14:B18"/>
    <mergeCell ref="C14:C15"/>
    <mergeCell ref="D14:D15"/>
    <mergeCell ref="F14:F15"/>
    <mergeCell ref="G14:G15"/>
    <mergeCell ref="T14:U14"/>
    <mergeCell ref="V14:W14"/>
    <mergeCell ref="T15:U15"/>
    <mergeCell ref="C16:C17"/>
    <mergeCell ref="D16:D17"/>
    <mergeCell ref="F16:F17"/>
    <mergeCell ref="G16:G17"/>
    <mergeCell ref="T16:U16"/>
    <mergeCell ref="V10:W10"/>
    <mergeCell ref="Z10:AA10"/>
    <mergeCell ref="T11:U11"/>
    <mergeCell ref="V11:W11"/>
    <mergeCell ref="T12:U12"/>
    <mergeCell ref="V12:W12"/>
    <mergeCell ref="AE6:AE7"/>
    <mergeCell ref="B7:B11"/>
    <mergeCell ref="Q8:Q11"/>
    <mergeCell ref="T8:U8"/>
    <mergeCell ref="V8:W8"/>
    <mergeCell ref="C9:D9"/>
    <mergeCell ref="T9:U9"/>
    <mergeCell ref="V9:W9"/>
    <mergeCell ref="Z9:AA9"/>
    <mergeCell ref="T10:U10"/>
    <mergeCell ref="C6:D6"/>
    <mergeCell ref="I6:J6"/>
    <mergeCell ref="L6:M6"/>
    <mergeCell ref="T6:U6"/>
    <mergeCell ref="V6:W6"/>
    <mergeCell ref="AD6:AD7"/>
    <mergeCell ref="S2:T3"/>
    <mergeCell ref="Z2:AB3"/>
    <mergeCell ref="B4:D5"/>
    <mergeCell ref="F4:G5"/>
    <mergeCell ref="T4:U4"/>
    <mergeCell ref="V4:W4"/>
    <mergeCell ref="T5:U5"/>
    <mergeCell ref="V5:W5"/>
  </mergeCells>
  <phoneticPr fontId="49" type="noConversion"/>
  <dataValidations count="3">
    <dataValidation type="list" allowBlank="1" showInputMessage="1" sqref="K9">
      <formula1>$C$30:$G$30</formula1>
    </dataValidation>
    <dataValidation type="list" allowBlank="1" showInputMessage="1" sqref="K14">
      <formula1>$C$21:$G$21</formula1>
    </dataValidation>
    <dataValidation type="list" allowBlank="1" showInputMessage="1" sqref="K15">
      <formula1>$C$28:$G$28</formula1>
    </dataValidation>
  </dataValidations>
  <hyperlinks>
    <hyperlink ref="H38" r:id="rId1" location="Grantstructure"/>
  </hyperlinks>
  <pageMargins left="0.7" right="0.7" top="0.75" bottom="0.75" header="0.3" footer="0.3"/>
  <legacyDrawing r:id="rId2"/>
  <extLst>
    <ext xmlns:x14="http://schemas.microsoft.com/office/spreadsheetml/2009/9/main" uri="{CCE6A557-97BC-4b89-ADB6-D9C93CAAB3DF}">
      <x14:dataValidations xmlns:xm="http://schemas.microsoft.com/office/excel/2006/main" count="36">
        <x14:dataValidation type="list" allowBlank="1" showInputMessage="1">
          <x14:formula1>
            <xm:f>Parameters!$D$5:$H$5</xm:f>
          </x14:formula1>
          <xm:sqref>G7</xm:sqref>
        </x14:dataValidation>
        <x14:dataValidation type="list" allowBlank="1" showInputMessage="1">
          <x14:formula1>
            <xm:f>Parameters!$D$9:$H$9</xm:f>
          </x14:formula1>
          <xm:sqref>G10</xm:sqref>
        </x14:dataValidation>
        <x14:dataValidation type="list" allowBlank="1" showInputMessage="1">
          <x14:formula1>
            <xm:f>Parameters!$D$8:$H$8</xm:f>
          </x14:formula1>
          <xm:sqref>G8</xm:sqref>
        </x14:dataValidation>
        <x14:dataValidation type="list" allowBlank="1" showInputMessage="1">
          <x14:formula1>
            <xm:f>Parameters!$D$32:$H$32</xm:f>
          </x14:formula1>
          <xm:sqref>G18</xm:sqref>
        </x14:dataValidation>
        <x14:dataValidation type="list" allowBlank="1" showInputMessage="1">
          <x14:formula1>
            <xm:f>Parameters!$D$7:$H$7</xm:f>
          </x14:formula1>
          <xm:sqref>G9</xm:sqref>
        </x14:dataValidation>
        <x14:dataValidation type="list" allowBlank="1" showInputMessage="1">
          <x14:formula1>
            <xm:f>Parameters!$D$4:$H$4</xm:f>
          </x14:formula1>
          <xm:sqref>D7</xm:sqref>
        </x14:dataValidation>
        <x14:dataValidation type="list" allowBlank="1" showInputMessage="1">
          <x14:formula1>
            <xm:f>Parameters!$D$14:$H$14</xm:f>
          </x14:formula1>
          <xm:sqref>J17:K17</xm:sqref>
        </x14:dataValidation>
        <x14:dataValidation type="list" allowBlank="1" showInputMessage="1">
          <x14:formula1>
            <xm:f>Parameters!$D$17:$H$17</xm:f>
          </x14:formula1>
          <xm:sqref>J18:K18</xm:sqref>
        </x14:dataValidation>
        <x14:dataValidation type="list" allowBlank="1" showInputMessage="1">
          <x14:formula1>
            <xm:f>Parameters!$D$21:$H$21</xm:f>
          </x14:formula1>
          <xm:sqref>J16:K16</xm:sqref>
        </x14:dataValidation>
        <x14:dataValidation type="list" allowBlank="1" showInputMessage="1">
          <x14:formula1>
            <xm:f>Parameters!$D$18:$H$18</xm:f>
          </x14:formula1>
          <xm:sqref>J10</xm:sqref>
        </x14:dataValidation>
        <x14:dataValidation type="list" allowBlank="1" showInputMessage="1">
          <x14:formula1>
            <xm:f>Parameters!$E$23:$G$23</xm:f>
          </x14:formula1>
          <xm:sqref>K7</xm:sqref>
        </x14:dataValidation>
        <x14:dataValidation type="list" allowBlank="1" showInputMessage="1">
          <x14:formula1>
            <xm:f>Parameters!$D$23:$H$23</xm:f>
          </x14:formula1>
          <xm:sqref>J7</xm:sqref>
        </x14:dataValidation>
        <x14:dataValidation type="list" allowBlank="1" showInputMessage="1">
          <x14:formula1>
            <xm:f>Parameters!$E$16:$I$16</xm:f>
          </x14:formula1>
          <xm:sqref>K10</xm:sqref>
        </x14:dataValidation>
        <x14:dataValidation type="list" allowBlank="1" showInputMessage="1">
          <x14:formula1>
            <xm:f>Parameters!$D$16:$H$16</xm:f>
          </x14:formula1>
          <xm:sqref>J8</xm:sqref>
        </x14:dataValidation>
        <x14:dataValidation type="list" allowBlank="1" showInputMessage="1">
          <x14:formula1>
            <xm:f>Parameters!$D$36:$H$36</xm:f>
          </x14:formula1>
          <xm:sqref>M7</xm:sqref>
        </x14:dataValidation>
        <x14:dataValidation type="list" allowBlank="1" showInputMessage="1">
          <x14:formula1>
            <xm:f>Parameters!$D$37:$H$37</xm:f>
          </x14:formula1>
          <xm:sqref>M8</xm:sqref>
        </x14:dataValidation>
        <x14:dataValidation type="list" allowBlank="1" showInputMessage="1">
          <x14:formula1>
            <xm:f>Parameters!$D$38:$H$38</xm:f>
          </x14:formula1>
          <xm:sqref>M9</xm:sqref>
        </x14:dataValidation>
        <x14:dataValidation type="list" allowBlank="1" showInputMessage="1">
          <x14:formula1>
            <xm:f>Parameters!$D$39:$H$39</xm:f>
          </x14:formula1>
          <xm:sqref>M10</xm:sqref>
        </x14:dataValidation>
        <x14:dataValidation type="list" allowBlank="1" showInputMessage="1">
          <x14:formula1>
            <xm:f>Parameters!$D$40:$H$40</xm:f>
          </x14:formula1>
          <xm:sqref>M11</xm:sqref>
        </x14:dataValidation>
        <x14:dataValidation type="list" allowBlank="1" showInputMessage="1">
          <x14:formula1>
            <xm:f>Parameters!$D$41:$H$41</xm:f>
          </x14:formula1>
          <xm:sqref>M12</xm:sqref>
        </x14:dataValidation>
        <x14:dataValidation type="list" allowBlank="1" showInputMessage="1">
          <x14:formula1>
            <xm:f>Parameters!$D$42:$H$42</xm:f>
          </x14:formula1>
          <xm:sqref>M13</xm:sqref>
        </x14:dataValidation>
        <x14:dataValidation type="list" allowBlank="1" showInputMessage="1">
          <x14:formula1>
            <xm:f>Parameters!$D$43:$H$43</xm:f>
          </x14:formula1>
          <xm:sqref>M14</xm:sqref>
        </x14:dataValidation>
        <x14:dataValidation type="list" allowBlank="1" showInputMessage="1">
          <x14:formula1>
            <xm:f>Parameters!$D$44:$H$44</xm:f>
          </x14:formula1>
          <xm:sqref>M15</xm:sqref>
        </x14:dataValidation>
        <x14:dataValidation type="list" allowBlank="1" showInputMessage="1">
          <x14:formula1>
            <xm:f>Parameters!$D$25:$H$25</xm:f>
          </x14:formula1>
          <xm:sqref>J9</xm:sqref>
        </x14:dataValidation>
        <x14:dataValidation type="list" allowBlank="1" showInputMessage="1">
          <x14:formula1>
            <xm:f>Parameters!$D$24:$H$24</xm:f>
          </x14:formula1>
          <xm:sqref>J11</xm:sqref>
        </x14:dataValidation>
        <x14:dataValidation type="list" allowBlank="1" showInputMessage="1">
          <x14:formula1>
            <xm:f>Parameters!$D$15:$H$15</xm:f>
          </x14:formula1>
          <xm:sqref>J15</xm:sqref>
        </x14:dataValidation>
        <x14:dataValidation type="list" allowBlank="1" showInputMessage="1">
          <x14:formula1>
            <xm:f>Parameters!$D$22:$H$22</xm:f>
          </x14:formula1>
          <xm:sqref>J14</xm:sqref>
        </x14:dataValidation>
        <x14:dataValidation type="list" allowBlank="1" showInputMessage="1">
          <x14:formula1>
            <xm:f>Parameters!$D$28:$H$28</xm:f>
          </x14:formula1>
          <xm:sqref>G16</xm:sqref>
        </x14:dataValidation>
        <x14:dataValidation type="list" allowBlank="1" showInputMessage="1">
          <x14:formula1>
            <xm:f>Parameters!$D$10:$H$10</xm:f>
          </x14:formula1>
          <xm:sqref>G14</xm:sqref>
        </x14:dataValidation>
        <x14:dataValidation type="list" allowBlank="1" showInputMessage="1">
          <x14:formula1>
            <xm:f>Parameters!$D$56:$H$56</xm:f>
          </x14:formula1>
          <xm:sqref>D14</xm:sqref>
        </x14:dataValidation>
        <x14:dataValidation type="list" allowBlank="1" showInputMessage="1">
          <x14:formula1>
            <xm:f>Parameters!$D$55:$H$55</xm:f>
          </x14:formula1>
          <xm:sqref>D11</xm:sqref>
        </x14:dataValidation>
        <x14:dataValidation type="list" allowBlank="1" showInputMessage="1">
          <x14:formula1>
            <xm:f>Parameters!$D$54:$H$54</xm:f>
          </x14:formula1>
          <xm:sqref>D10</xm:sqref>
        </x14:dataValidation>
        <x14:dataValidation type="list" allowBlank="1" showInputMessage="1">
          <x14:formula1>
            <xm:f>Parameters!$D$57:$H$57</xm:f>
          </x14:formula1>
          <xm:sqref>D16:D17</xm:sqref>
        </x14:dataValidation>
        <x14:dataValidation type="list" allowBlank="1" showInputMessage="1">
          <x14:formula1>
            <xm:f>Parameters!$D$33:$H$33</xm:f>
          </x14:formula1>
          <xm:sqref>G11</xm:sqref>
        </x14:dataValidation>
        <x14:dataValidation type="list" allowBlank="1" showInputMessage="1">
          <x14:formula1>
            <xm:f>Parameters!$D$6:$H$6</xm:f>
          </x14:formula1>
          <xm:sqref>G13</xm:sqref>
        </x14:dataValidation>
        <x14:dataValidation type="list" allowBlank="1" showInputMessage="1">
          <x14:formula1>
            <xm:f>Parameters!$D$51:$H$51</xm:f>
          </x14:formula1>
          <xm:sqref>M18</xm:sqref>
        </x14:dataValidation>
      </x14:dataValidations>
    </ext>
  </extLst>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B119"/>
  <sheetViews>
    <sheetView workbookViewId="0"/>
  </sheetViews>
  <sheetFormatPr baseColWidth="10" defaultColWidth="8.83203125" defaultRowHeight="11" x14ac:dyDescent="0.15"/>
  <cols>
    <col min="1" max="1" width="1.5" style="233" customWidth="1"/>
    <col min="2" max="2" width="9.5" style="233" customWidth="1"/>
    <col min="3" max="3" width="14.5" style="233" customWidth="1"/>
    <col min="4" max="4" width="5.83203125" style="233" customWidth="1"/>
    <col min="5" max="5" width="1.83203125" style="233" customWidth="1"/>
    <col min="6" max="6" width="21.5" style="233" customWidth="1"/>
    <col min="7" max="7" width="13.5" style="233" customWidth="1"/>
    <col min="8" max="8" width="1.5" style="233" customWidth="1"/>
    <col min="9" max="9" width="16.5" style="233" customWidth="1"/>
    <col min="10" max="10" width="8.5" style="233" customWidth="1"/>
    <col min="11" max="11" width="1.5" style="233" customWidth="1"/>
    <col min="12" max="12" width="22.83203125" style="233" customWidth="1"/>
    <col min="13" max="13" width="8.5" style="233" customWidth="1"/>
    <col min="14" max="14" width="0.83203125" style="233" customWidth="1"/>
    <col min="15" max="15" width="2.83203125" style="233" customWidth="1"/>
    <col min="16" max="16" width="2.5" style="233" customWidth="1"/>
    <col min="17" max="17" width="15.5" style="233" customWidth="1"/>
    <col min="18" max="18" width="30.83203125" style="233" customWidth="1"/>
    <col min="19" max="19" width="23.5" style="233" customWidth="1"/>
    <col min="20" max="20" width="1" style="233" customWidth="1"/>
    <col min="21" max="21" width="24.5" style="233" customWidth="1"/>
    <col min="22" max="23" width="12.5" style="233" customWidth="1"/>
    <col min="24" max="24" width="12.5" style="246" customWidth="1"/>
    <col min="25" max="25" width="13.5" style="233" customWidth="1"/>
    <col min="26" max="26" width="14.1640625" style="233" customWidth="1"/>
    <col min="27" max="28" width="11.5" style="233" customWidth="1"/>
    <col min="29" max="29" width="2.5" style="233" customWidth="1"/>
    <col min="30" max="30" width="28.5" style="233" customWidth="1"/>
    <col min="31" max="31" width="14.5" style="233" bestFit="1" customWidth="1"/>
    <col min="32" max="16384" width="8.83203125" style="233"/>
  </cols>
  <sheetData>
    <row r="1" spans="1:54" ht="6" customHeight="1" thickBot="1" x14ac:dyDescent="0.35">
      <c r="A1" s="274"/>
      <c r="B1" s="246"/>
      <c r="C1" s="246"/>
      <c r="D1" s="246"/>
      <c r="E1" s="246"/>
      <c r="F1" s="246"/>
      <c r="G1" s="246"/>
      <c r="H1" s="246"/>
      <c r="I1" s="246"/>
      <c r="J1" s="246"/>
      <c r="K1" s="246"/>
      <c r="L1" s="246"/>
      <c r="M1" s="246"/>
      <c r="N1" s="246"/>
      <c r="O1" s="246"/>
      <c r="P1" s="246"/>
      <c r="Q1" s="246"/>
      <c r="R1" s="254"/>
      <c r="S1" s="246"/>
      <c r="T1" s="246"/>
      <c r="U1" s="246"/>
      <c r="V1" s="246"/>
      <c r="W1" s="246"/>
      <c r="Y1" s="246"/>
      <c r="Z1" s="246"/>
      <c r="AA1" s="246"/>
      <c r="AB1" s="246"/>
      <c r="AC1" s="246"/>
      <c r="AD1" s="246"/>
      <c r="AE1" s="246"/>
      <c r="AF1" s="246"/>
      <c r="AG1" s="246"/>
      <c r="AH1" s="246"/>
      <c r="AI1" s="246"/>
      <c r="AJ1" s="246"/>
      <c r="AK1" s="246"/>
      <c r="AL1" s="246"/>
      <c r="AM1" s="246"/>
      <c r="AN1" s="246"/>
      <c r="AO1" s="246"/>
      <c r="AP1" s="246"/>
      <c r="AQ1" s="246"/>
    </row>
    <row r="2" spans="1:54" ht="15" customHeight="1" x14ac:dyDescent="0.25">
      <c r="A2" s="246"/>
      <c r="B2" s="246"/>
      <c r="C2" s="334"/>
      <c r="D2" s="249"/>
      <c r="E2" s="249"/>
      <c r="F2" s="246"/>
      <c r="G2" s="246"/>
      <c r="H2" s="246"/>
      <c r="I2" s="246"/>
      <c r="J2" s="246"/>
      <c r="K2" s="274"/>
      <c r="L2" s="386"/>
      <c r="M2" s="274"/>
      <c r="N2" s="246"/>
      <c r="O2" s="246"/>
      <c r="P2" s="246"/>
      <c r="Q2" s="246"/>
      <c r="S2" s="553" t="s">
        <v>409</v>
      </c>
      <c r="T2" s="554"/>
      <c r="U2" s="333"/>
      <c r="V2" s="333"/>
      <c r="W2" s="333"/>
      <c r="X2" s="333"/>
      <c r="Y2" s="246"/>
      <c r="Z2" s="557" t="s">
        <v>290</v>
      </c>
      <c r="AA2" s="558"/>
      <c r="AB2" s="559"/>
      <c r="AC2" s="246"/>
      <c r="AD2" s="246"/>
      <c r="AE2" s="246"/>
      <c r="AF2" s="246"/>
      <c r="AG2" s="246"/>
      <c r="AH2" s="246"/>
      <c r="AI2" s="246"/>
      <c r="AJ2" s="246"/>
      <c r="AK2" s="246"/>
      <c r="AL2" s="246"/>
      <c r="AM2" s="246"/>
      <c r="AN2" s="246"/>
      <c r="AO2" s="246"/>
      <c r="AP2" s="246"/>
      <c r="AQ2" s="246"/>
      <c r="AS2" s="232" t="s">
        <v>477</v>
      </c>
      <c r="AT2" s="232" t="s">
        <v>478</v>
      </c>
      <c r="AU2" s="232" t="s">
        <v>479</v>
      </c>
      <c r="AV2" s="232" t="s">
        <v>480</v>
      </c>
      <c r="AW2" s="232" t="s">
        <v>481</v>
      </c>
      <c r="AX2" s="232" t="s">
        <v>482</v>
      </c>
      <c r="AY2" s="232" t="s">
        <v>483</v>
      </c>
      <c r="AZ2" s="232" t="s">
        <v>432</v>
      </c>
      <c r="BA2" s="232" t="s">
        <v>485</v>
      </c>
    </row>
    <row r="3" spans="1:54" ht="19.5" customHeight="1" thickBot="1" x14ac:dyDescent="0.3">
      <c r="A3" s="246"/>
      <c r="B3" s="334"/>
      <c r="C3" s="334"/>
      <c r="D3" s="249"/>
      <c r="E3" s="249"/>
      <c r="F3" s="246"/>
      <c r="G3" s="246"/>
      <c r="H3" s="246"/>
      <c r="I3" s="246"/>
      <c r="J3" s="246"/>
      <c r="K3" s="274"/>
      <c r="L3" s="274"/>
      <c r="M3" s="274"/>
      <c r="N3" s="246"/>
      <c r="O3" s="246"/>
      <c r="P3" s="246"/>
      <c r="Q3" s="246"/>
      <c r="R3" s="333"/>
      <c r="S3" s="555"/>
      <c r="T3" s="556"/>
      <c r="U3" s="333"/>
      <c r="V3" s="333"/>
      <c r="W3" s="333"/>
      <c r="X3" s="333"/>
      <c r="Y3" s="246"/>
      <c r="Z3" s="560"/>
      <c r="AA3" s="561"/>
      <c r="AB3" s="562"/>
      <c r="AC3" s="246"/>
      <c r="AD3" s="246"/>
      <c r="AE3" s="246"/>
      <c r="AF3" s="246"/>
      <c r="AG3" s="246"/>
      <c r="AH3" s="246"/>
      <c r="AI3" s="246"/>
      <c r="AJ3" s="246"/>
      <c r="AK3" s="246"/>
      <c r="AL3" s="246"/>
      <c r="AM3" s="246"/>
      <c r="AN3" s="246"/>
      <c r="AO3" s="246"/>
      <c r="AP3" s="246"/>
      <c r="AQ3" s="246"/>
      <c r="AS3" s="232"/>
      <c r="AT3" s="232"/>
      <c r="AU3" s="232"/>
      <c r="AV3" s="232"/>
      <c r="AW3" s="232"/>
      <c r="AX3" s="232"/>
      <c r="AY3" s="232"/>
      <c r="AZ3" s="232"/>
      <c r="BA3" s="232"/>
    </row>
    <row r="4" spans="1:54" ht="40.75" customHeight="1" x14ac:dyDescent="0.2">
      <c r="A4" s="246"/>
      <c r="B4" s="563" t="s">
        <v>365</v>
      </c>
      <c r="C4" s="563"/>
      <c r="D4" s="563"/>
      <c r="E4" s="336"/>
      <c r="F4" s="565" t="s">
        <v>408</v>
      </c>
      <c r="G4" s="566"/>
      <c r="H4" s="249"/>
      <c r="I4" s="246"/>
      <c r="J4" s="246"/>
      <c r="K4" s="246"/>
      <c r="L4" s="246"/>
      <c r="M4" s="246"/>
      <c r="N4" s="277"/>
      <c r="O4" s="277"/>
      <c r="P4" s="277"/>
      <c r="Q4" s="332"/>
      <c r="R4" s="457" t="s">
        <v>393</v>
      </c>
      <c r="S4" s="457" t="s">
        <v>245</v>
      </c>
      <c r="T4" s="569" t="s">
        <v>244</v>
      </c>
      <c r="U4" s="569"/>
      <c r="V4" s="569" t="s">
        <v>395</v>
      </c>
      <c r="W4" s="570"/>
      <c r="X4" s="238"/>
      <c r="Y4" s="246"/>
      <c r="Z4" s="369" t="s">
        <v>291</v>
      </c>
      <c r="AA4" s="370"/>
      <c r="AB4" s="371"/>
      <c r="AC4" s="242"/>
      <c r="AD4" s="372" t="s">
        <v>292</v>
      </c>
      <c r="AE4" s="373"/>
      <c r="AF4" s="246"/>
      <c r="AG4" s="246"/>
      <c r="AH4" s="246"/>
      <c r="AI4" s="246"/>
      <c r="AJ4" s="246"/>
      <c r="AK4" s="246"/>
      <c r="AL4" s="246"/>
      <c r="AM4" s="246"/>
      <c r="AN4" s="246"/>
      <c r="AO4" s="246"/>
      <c r="AP4" s="246"/>
      <c r="AQ4" s="246"/>
      <c r="AS4" s="232">
        <v>0</v>
      </c>
      <c r="AT4" s="278">
        <f>Q37</f>
        <v>212.7659574468085</v>
      </c>
      <c r="AU4" s="278">
        <f>(1-$D$11)*AT4</f>
        <v>106.38297872340425</v>
      </c>
      <c r="AV4" s="278"/>
      <c r="AW4" s="232"/>
      <c r="AX4" s="232">
        <f>IF(ISNUMBER(AS5),SUM(AU4:AV4),SUM(AU4:AW4))</f>
        <v>106.38297872340425</v>
      </c>
      <c r="AY4" s="279">
        <f t="shared" ref="AY4:AY30" si="0">LN(AX4+$J$37)-LN($J$37)</f>
        <v>0.31632022465180309</v>
      </c>
      <c r="AZ4" s="232">
        <f>IF(ISNUMBER(AS4),AY4/(1+$D$7)^AS4,0)</f>
        <v>0.31632022465180309</v>
      </c>
      <c r="BA4" s="232"/>
    </row>
    <row r="5" spans="1:54" ht="10.75" customHeight="1" thickBot="1" x14ac:dyDescent="0.25">
      <c r="A5" s="246"/>
      <c r="B5" s="564"/>
      <c r="C5" s="564"/>
      <c r="D5" s="564"/>
      <c r="E5" s="335"/>
      <c r="F5" s="567"/>
      <c r="G5" s="568"/>
      <c r="H5" s="256"/>
      <c r="I5" s="256"/>
      <c r="J5" s="246"/>
      <c r="K5" s="246"/>
      <c r="L5" s="246"/>
      <c r="M5" s="246"/>
      <c r="N5" s="246"/>
      <c r="O5" s="246"/>
      <c r="P5" s="246"/>
      <c r="Q5" s="459" t="s">
        <v>411</v>
      </c>
      <c r="R5" s="439">
        <f>D37/(1+D7)^8</f>
        <v>0.19655566514553366</v>
      </c>
      <c r="S5" s="458">
        <f>R5*(1-1/(1+D7)^G16)/(1-1/(1+D7))</f>
        <v>3.8153808872026187</v>
      </c>
      <c r="T5" s="582">
        <f>S5*G11*G7*G9*G18*G8/G37</f>
        <v>0.30520830693786061</v>
      </c>
      <c r="U5" s="582"/>
      <c r="V5" s="572">
        <f>$G$14*$G$10</f>
        <v>5.4806550000000001E-3</v>
      </c>
      <c r="W5" s="573"/>
      <c r="X5" s="238"/>
      <c r="Y5" s="246"/>
      <c r="Z5" s="357" t="s">
        <v>121</v>
      </c>
      <c r="AA5" s="358"/>
      <c r="AB5" s="359"/>
      <c r="AC5" s="247"/>
      <c r="AD5" s="238"/>
      <c r="AE5" s="244"/>
      <c r="AF5" s="246"/>
      <c r="AG5" s="246"/>
      <c r="AH5" s="246"/>
      <c r="AI5" s="246"/>
      <c r="AJ5" s="246"/>
      <c r="AK5" s="246"/>
      <c r="AL5" s="246"/>
      <c r="AM5" s="246"/>
      <c r="AN5" s="246"/>
      <c r="AO5" s="246"/>
      <c r="AP5" s="246"/>
      <c r="AQ5" s="246"/>
      <c r="AS5" s="232">
        <f t="shared" ref="AS5:AS68" si="1">IF(AS4&lt;$D$14,AS4+1,"")</f>
        <v>1</v>
      </c>
      <c r="AT5" s="278">
        <f>AT4-AU4</f>
        <v>106.38297872340425</v>
      </c>
      <c r="AU5" s="278"/>
      <c r="AV5" s="278">
        <f t="shared" ref="AV5:AV71" si="2">$D$10*AT5</f>
        <v>10.638297872340425</v>
      </c>
      <c r="AW5" s="278">
        <f>AT5</f>
        <v>106.38297872340425</v>
      </c>
      <c r="AX5" s="232">
        <f t="shared" ref="AX5:AX14" si="3">IF(ISNUMBER(AS6),SUM(AU5:AV5),SUM(AU5:AW5))</f>
        <v>10.638297872340425</v>
      </c>
      <c r="AY5" s="279">
        <f t="shared" si="0"/>
        <v>3.6531480770634062E-2</v>
      </c>
      <c r="AZ5" s="232">
        <f t="shared" ref="AZ5:AZ71" si="4">IF(ISNUMBER(AS5),AY5/(1+$D$7)^AS5,0)</f>
        <v>3.5126423817917363E-2</v>
      </c>
      <c r="BA5" s="232">
        <f>SUM(AZ5:AZ114)</f>
        <v>0.5763847022359585</v>
      </c>
      <c r="BB5" s="233">
        <f>SUM(AZ5:AZ23)</f>
        <v>0.5763847022359585</v>
      </c>
    </row>
    <row r="6" spans="1:54" ht="15" customHeight="1" x14ac:dyDescent="0.2">
      <c r="A6" s="246"/>
      <c r="B6" s="242"/>
      <c r="C6" s="587" t="s">
        <v>540</v>
      </c>
      <c r="D6" s="587"/>
      <c r="E6" s="271"/>
      <c r="F6" s="350" t="s">
        <v>541</v>
      </c>
      <c r="G6" s="351"/>
      <c r="H6" s="272"/>
      <c r="I6" s="587" t="s">
        <v>567</v>
      </c>
      <c r="J6" s="587"/>
      <c r="K6" s="272"/>
      <c r="L6" s="588" t="s">
        <v>390</v>
      </c>
      <c r="M6" s="588"/>
      <c r="N6" s="243"/>
      <c r="O6" s="238"/>
      <c r="P6" s="246"/>
      <c r="Q6" s="459" t="s">
        <v>412</v>
      </c>
      <c r="R6" s="458">
        <f>(M15*M11)/(1+D7)^10</f>
        <v>1.9456248062182997E-2</v>
      </c>
      <c r="S6" s="458">
        <f>R6*(1-1/(1+D7)^G16)/(1-1/(1+D7))</f>
        <v>0.37766907882386613</v>
      </c>
      <c r="T6" s="582">
        <f>S6*M8*M9*M14*(W37/V37)*G11</f>
        <v>7.6673711685242571E-3</v>
      </c>
      <c r="U6" s="582"/>
      <c r="V6" s="572">
        <v>0</v>
      </c>
      <c r="W6" s="589"/>
      <c r="X6" s="238"/>
      <c r="Y6" s="246"/>
      <c r="Z6" s="360" t="s">
        <v>570</v>
      </c>
      <c r="AA6" s="361"/>
      <c r="AB6" s="362">
        <f>$G$7*$G$8*$G$9*G$18*$J7</f>
        <v>2.6570940000000001E-2</v>
      </c>
      <c r="AC6" s="247"/>
      <c r="AD6" s="590" t="s">
        <v>123</v>
      </c>
      <c r="AE6" s="574">
        <f>G10</f>
        <v>3</v>
      </c>
      <c r="AF6" s="246"/>
      <c r="AG6" s="246"/>
      <c r="AH6" s="246"/>
      <c r="AI6" s="246"/>
      <c r="AJ6" s="246"/>
      <c r="AK6" s="246"/>
      <c r="AL6" s="246"/>
      <c r="AM6" s="246"/>
      <c r="AN6" s="246"/>
      <c r="AO6" s="246"/>
      <c r="AP6" s="246"/>
      <c r="AQ6" s="246"/>
      <c r="AS6" s="232">
        <f t="shared" si="1"/>
        <v>2</v>
      </c>
      <c r="AT6" s="278">
        <f t="shared" ref="AT6:AT72" si="5">IF(ISNUMBER(AS6),AW5,0)</f>
        <v>106.38297872340425</v>
      </c>
      <c r="AU6" s="278"/>
      <c r="AV6" s="278">
        <f t="shared" si="2"/>
        <v>10.638297872340425</v>
      </c>
      <c r="AW6" s="278">
        <f t="shared" ref="AW6:AW72" si="6">AT6</f>
        <v>106.38297872340425</v>
      </c>
      <c r="AX6" s="232">
        <f t="shared" si="3"/>
        <v>10.638297872340425</v>
      </c>
      <c r="AY6" s="279">
        <f t="shared" si="0"/>
        <v>3.6531480770634062E-2</v>
      </c>
      <c r="AZ6" s="232">
        <f t="shared" si="4"/>
        <v>3.3775407517228233E-2</v>
      </c>
      <c r="BA6" s="232"/>
    </row>
    <row r="7" spans="1:54" ht="20.5" customHeight="1" x14ac:dyDescent="0.2">
      <c r="A7" s="246"/>
      <c r="B7" s="576" t="s">
        <v>573</v>
      </c>
      <c r="C7" s="301" t="s">
        <v>528</v>
      </c>
      <c r="D7" s="139">
        <v>0.04</v>
      </c>
      <c r="E7" s="234"/>
      <c r="F7" s="321" t="s">
        <v>532</v>
      </c>
      <c r="G7" s="338">
        <v>0.63500000000000001</v>
      </c>
      <c r="H7" s="236"/>
      <c r="I7" s="321" t="s">
        <v>536</v>
      </c>
      <c r="J7" s="381">
        <v>0.25359999999999999</v>
      </c>
      <c r="K7" s="314"/>
      <c r="L7" s="321" t="s">
        <v>397</v>
      </c>
      <c r="M7" s="324">
        <v>7.4999999999999997E-2</v>
      </c>
      <c r="N7" s="244"/>
      <c r="O7" s="238"/>
      <c r="P7" s="246"/>
      <c r="Q7" s="247"/>
      <c r="R7" s="238"/>
      <c r="S7" s="238"/>
      <c r="T7" s="238"/>
      <c r="U7" s="318"/>
      <c r="V7" s="238"/>
      <c r="W7" s="244"/>
      <c r="X7" s="238"/>
      <c r="Y7" s="246"/>
      <c r="Z7" s="360" t="s">
        <v>560</v>
      </c>
      <c r="AA7" s="361"/>
      <c r="AB7" s="362">
        <f>$G$7*$G$8*$G$9*G$18*$J8</f>
        <v>1.9455810318933193E-2</v>
      </c>
      <c r="AC7" s="247"/>
      <c r="AD7" s="591"/>
      <c r="AE7" s="575"/>
      <c r="AF7" s="246"/>
      <c r="AG7" s="246"/>
      <c r="AH7" s="246"/>
      <c r="AI7" s="246"/>
      <c r="AJ7" s="246"/>
      <c r="AK7" s="246"/>
      <c r="AL7" s="246"/>
      <c r="AM7" s="246"/>
      <c r="AN7" s="246"/>
      <c r="AO7" s="246"/>
      <c r="AP7" s="246"/>
      <c r="AQ7" s="246"/>
      <c r="AS7" s="232">
        <f t="shared" si="1"/>
        <v>3</v>
      </c>
      <c r="AT7" s="278">
        <f>IF(ISNUMBER(AS7),AW6,0)</f>
        <v>106.38297872340425</v>
      </c>
      <c r="AU7" s="278"/>
      <c r="AV7" s="278">
        <f t="shared" si="2"/>
        <v>10.638297872340425</v>
      </c>
      <c r="AW7" s="278">
        <f t="shared" si="6"/>
        <v>106.38297872340425</v>
      </c>
      <c r="AX7" s="232">
        <f t="shared" si="3"/>
        <v>10.638297872340425</v>
      </c>
      <c r="AY7" s="279">
        <f t="shared" si="0"/>
        <v>3.6531480770634062E-2</v>
      </c>
      <c r="AZ7" s="232">
        <f t="shared" si="4"/>
        <v>3.2476353381950228E-2</v>
      </c>
      <c r="BA7" s="232"/>
    </row>
    <row r="8" spans="1:54" ht="25" customHeight="1" thickBot="1" x14ac:dyDescent="0.25">
      <c r="A8" s="246"/>
      <c r="B8" s="576"/>
      <c r="C8" s="294"/>
      <c r="D8" s="294"/>
      <c r="E8" s="273"/>
      <c r="F8" s="323" t="s">
        <v>534</v>
      </c>
      <c r="G8" s="245">
        <v>0.33</v>
      </c>
      <c r="H8" s="237"/>
      <c r="I8" s="312" t="s">
        <v>537</v>
      </c>
      <c r="J8" s="379">
        <v>0.18569134162665896</v>
      </c>
      <c r="K8" s="315"/>
      <c r="L8" s="312" t="s">
        <v>391</v>
      </c>
      <c r="M8" s="313">
        <v>0.8</v>
      </c>
      <c r="N8" s="244"/>
      <c r="O8" s="238"/>
      <c r="P8" s="246"/>
      <c r="Q8" s="577" t="s">
        <v>413</v>
      </c>
      <c r="R8" s="238"/>
      <c r="S8" s="460" t="s">
        <v>246</v>
      </c>
      <c r="T8" s="578" t="s">
        <v>562</v>
      </c>
      <c r="U8" s="578"/>
      <c r="V8" s="578" t="s">
        <v>446</v>
      </c>
      <c r="W8" s="662"/>
      <c r="X8" s="238"/>
      <c r="Y8" s="246"/>
      <c r="Z8" s="360" t="s">
        <v>566</v>
      </c>
      <c r="AA8" s="361"/>
      <c r="AB8" s="362">
        <f>$G$7*$G$8*$G$9*G$18/M18</f>
        <v>5.2387500000000004E-2</v>
      </c>
      <c r="AC8" s="374"/>
      <c r="AD8" s="375" t="s">
        <v>124</v>
      </c>
      <c r="AE8" s="376">
        <f>(AE6*U37)/S5</f>
        <v>28.719282095145893</v>
      </c>
      <c r="AF8" s="246"/>
      <c r="AG8" s="246"/>
      <c r="AH8" s="246"/>
      <c r="AI8" s="246"/>
      <c r="AJ8" s="246"/>
      <c r="AK8" s="246"/>
      <c r="AL8" s="246"/>
      <c r="AM8" s="246"/>
      <c r="AN8" s="246"/>
      <c r="AO8" s="246"/>
      <c r="AP8" s="246"/>
      <c r="AQ8" s="246"/>
      <c r="AS8" s="232">
        <f t="shared" si="1"/>
        <v>4</v>
      </c>
      <c r="AT8" s="278">
        <f t="shared" si="5"/>
        <v>106.38297872340425</v>
      </c>
      <c r="AU8" s="278"/>
      <c r="AV8" s="278">
        <f t="shared" si="2"/>
        <v>10.638297872340425</v>
      </c>
      <c r="AW8" s="278">
        <f t="shared" si="6"/>
        <v>106.38297872340425</v>
      </c>
      <c r="AX8" s="232">
        <f t="shared" si="3"/>
        <v>10.638297872340425</v>
      </c>
      <c r="AY8" s="279">
        <f t="shared" si="0"/>
        <v>3.6531480770634062E-2</v>
      </c>
      <c r="AZ8" s="232">
        <f t="shared" si="4"/>
        <v>3.1227262867259829E-2</v>
      </c>
      <c r="BA8" s="232"/>
    </row>
    <row r="9" spans="1:54" ht="33" x14ac:dyDescent="0.2">
      <c r="A9" s="246"/>
      <c r="B9" s="576"/>
      <c r="C9" s="581" t="s">
        <v>542</v>
      </c>
      <c r="D9" s="581"/>
      <c r="E9" s="234"/>
      <c r="F9" s="312" t="s">
        <v>440</v>
      </c>
      <c r="G9" s="313">
        <v>1</v>
      </c>
      <c r="H9" s="237"/>
      <c r="I9" s="312" t="s">
        <v>386</v>
      </c>
      <c r="J9" s="379">
        <v>1</v>
      </c>
      <c r="K9" s="315"/>
      <c r="L9" s="312" t="s">
        <v>392</v>
      </c>
      <c r="M9" s="313">
        <v>0.6</v>
      </c>
      <c r="N9" s="244"/>
      <c r="O9" s="238"/>
      <c r="P9" s="246"/>
      <c r="Q9" s="577"/>
      <c r="R9" s="253" t="s">
        <v>572</v>
      </c>
      <c r="S9" s="468">
        <f>J11*($T$5*AB13*J14*J7+$V$5*(J7*$G$13))</f>
        <v>7.6813029031512908E-2</v>
      </c>
      <c r="T9" s="582">
        <f>S9/(J16/J9)</f>
        <v>0.1506137824147312</v>
      </c>
      <c r="U9" s="582"/>
      <c r="V9" s="663">
        <f>($G$10*$U$37)/T9</f>
        <v>727.52306092594836</v>
      </c>
      <c r="W9" s="664"/>
      <c r="X9" s="238"/>
      <c r="Y9" s="387"/>
      <c r="Z9" s="585" t="s">
        <v>288</v>
      </c>
      <c r="AA9" s="586"/>
      <c r="AB9" s="411">
        <v>0.05</v>
      </c>
      <c r="AC9" s="246"/>
      <c r="AD9" s="246"/>
      <c r="AE9" s="388"/>
      <c r="AF9" s="246"/>
      <c r="AG9" s="246"/>
      <c r="AH9" s="246"/>
      <c r="AI9" s="246"/>
      <c r="AJ9" s="246"/>
      <c r="AK9" s="246"/>
      <c r="AL9" s="246"/>
      <c r="AM9" s="246"/>
      <c r="AN9" s="246"/>
      <c r="AO9" s="246"/>
      <c r="AP9" s="246"/>
      <c r="AQ9" s="246"/>
      <c r="AS9" s="232">
        <f t="shared" si="1"/>
        <v>5</v>
      </c>
      <c r="AT9" s="278">
        <f t="shared" si="5"/>
        <v>106.38297872340425</v>
      </c>
      <c r="AU9" s="278"/>
      <c r="AV9" s="278">
        <f t="shared" si="2"/>
        <v>10.638297872340425</v>
      </c>
      <c r="AW9" s="278">
        <f t="shared" si="6"/>
        <v>106.38297872340425</v>
      </c>
      <c r="AX9" s="232">
        <f>IF(ISNUMBER(AS10),SUM(AU9:AV9),SUM(AU9:AW9))</f>
        <v>10.638297872340425</v>
      </c>
      <c r="AY9" s="279">
        <f t="shared" si="0"/>
        <v>3.6531480770634062E-2</v>
      </c>
      <c r="AZ9" s="232">
        <f t="shared" si="4"/>
        <v>3.0026214295442142E-2</v>
      </c>
      <c r="BA9" s="232"/>
    </row>
    <row r="10" spans="1:54" ht="39.75" customHeight="1" x14ac:dyDescent="0.2">
      <c r="A10" s="246"/>
      <c r="B10" s="576"/>
      <c r="C10" s="291" t="s">
        <v>531</v>
      </c>
      <c r="D10" s="292">
        <v>0.1</v>
      </c>
      <c r="E10" s="284"/>
      <c r="F10" s="312" t="s">
        <v>231</v>
      </c>
      <c r="G10" s="448">
        <v>3</v>
      </c>
      <c r="H10" s="285"/>
      <c r="I10" s="312" t="s">
        <v>387</v>
      </c>
      <c r="J10" s="379">
        <v>1</v>
      </c>
      <c r="K10" s="315"/>
      <c r="L10" s="312" t="s">
        <v>406</v>
      </c>
      <c r="M10" s="313">
        <v>1</v>
      </c>
      <c r="N10" s="244"/>
      <c r="O10" s="238"/>
      <c r="P10" s="246"/>
      <c r="Q10" s="577"/>
      <c r="R10" s="253" t="s">
        <v>14</v>
      </c>
      <c r="S10" s="468">
        <f>J18*($T$5*AB14*J15*J8+$V$5*(J8*$G$13))</f>
        <v>6.0697143320350748E-2</v>
      </c>
      <c r="T10" s="582">
        <f>S10/(J17/J10)</f>
        <v>0.1146960380203151</v>
      </c>
      <c r="U10" s="582"/>
      <c r="V10" s="663">
        <f>($G$10*$U$37)/T10</f>
        <v>955.35122129146225</v>
      </c>
      <c r="W10" s="664"/>
      <c r="X10" s="238"/>
      <c r="Y10" s="246"/>
      <c r="Z10" s="592" t="s">
        <v>289</v>
      </c>
      <c r="AA10" s="593"/>
      <c r="AB10" s="377" t="s">
        <v>287</v>
      </c>
      <c r="AC10" s="246"/>
      <c r="AD10" s="387"/>
      <c r="AE10" s="388"/>
      <c r="AF10" s="246"/>
      <c r="AG10" s="246"/>
      <c r="AH10" s="246"/>
      <c r="AI10" s="246"/>
      <c r="AJ10" s="246"/>
      <c r="AK10" s="246"/>
      <c r="AL10" s="246"/>
      <c r="AM10" s="246"/>
      <c r="AN10" s="246"/>
      <c r="AO10" s="246"/>
      <c r="AP10" s="246"/>
      <c r="AQ10" s="246"/>
      <c r="AS10" s="232">
        <f t="shared" si="1"/>
        <v>6</v>
      </c>
      <c r="AT10" s="278">
        <f>IF(ISNUMBER(AS10),AW9,0)</f>
        <v>106.38297872340425</v>
      </c>
      <c r="AU10" s="278"/>
      <c r="AV10" s="278">
        <f t="shared" si="2"/>
        <v>10.638297872340425</v>
      </c>
      <c r="AW10" s="278">
        <f t="shared" si="6"/>
        <v>106.38297872340425</v>
      </c>
      <c r="AX10" s="232">
        <f>IF(ISNUMBER(AS11),SUM(AU10:AV10),SUM(AU10:AW10))</f>
        <v>10.638297872340425</v>
      </c>
      <c r="AY10" s="279">
        <f t="shared" si="0"/>
        <v>3.6531480770634062E-2</v>
      </c>
      <c r="AZ10" s="232">
        <f t="shared" si="4"/>
        <v>2.8871359899463597E-2</v>
      </c>
      <c r="BA10" s="232"/>
    </row>
    <row r="11" spans="1:54" ht="33" customHeight="1" x14ac:dyDescent="0.2">
      <c r="A11" s="246"/>
      <c r="B11" s="576"/>
      <c r="C11" s="298" t="s">
        <v>533</v>
      </c>
      <c r="D11" s="299">
        <v>0.5</v>
      </c>
      <c r="E11" s="235"/>
      <c r="F11" s="312" t="s">
        <v>241</v>
      </c>
      <c r="G11" s="503">
        <f>2.3*0.8</f>
        <v>1.8399999999999999</v>
      </c>
      <c r="H11" s="238"/>
      <c r="I11" s="312" t="s">
        <v>230</v>
      </c>
      <c r="J11" s="379">
        <v>0.95799999999999996</v>
      </c>
      <c r="K11" s="315"/>
      <c r="L11" s="312" t="s">
        <v>405</v>
      </c>
      <c r="M11" s="313">
        <v>0.8</v>
      </c>
      <c r="N11" s="244"/>
      <c r="O11" s="246"/>
      <c r="P11" s="246"/>
      <c r="Q11" s="577"/>
      <c r="R11" s="253" t="s">
        <v>566</v>
      </c>
      <c r="S11" s="468" t="s">
        <v>120</v>
      </c>
      <c r="T11" s="686">
        <f>(1/S37)*((1/M18)*T5+V5*2)+(1/R37)*U37*G10</f>
        <v>8.3899831117824619E-2</v>
      </c>
      <c r="U11" s="686">
        <f>(1/S37)*(1/M18)*T5+1/R37*(G10*S5)</f>
        <v>4.6290937477720985E-2</v>
      </c>
      <c r="V11" s="663">
        <f>($G$10*$U$37)/T11</f>
        <v>1306.0216992107946</v>
      </c>
      <c r="W11" s="664"/>
      <c r="X11" s="238"/>
      <c r="Y11" s="246"/>
      <c r="Z11" s="247"/>
      <c r="AA11" s="238"/>
      <c r="AB11" s="244"/>
      <c r="AC11" s="246"/>
      <c r="AD11" s="246"/>
      <c r="AE11" s="246"/>
      <c r="AF11" s="246"/>
      <c r="AG11" s="246"/>
      <c r="AH11" s="246"/>
      <c r="AI11" s="246"/>
      <c r="AJ11" s="246"/>
      <c r="AK11" s="246"/>
      <c r="AL11" s="246"/>
      <c r="AM11" s="246"/>
      <c r="AN11" s="246"/>
      <c r="AO11" s="246"/>
      <c r="AP11" s="246"/>
      <c r="AQ11" s="246"/>
      <c r="AS11" s="232">
        <f t="shared" si="1"/>
        <v>7</v>
      </c>
      <c r="AT11" s="278">
        <f>IF(ISNUMBER(AS11),AW10,0)</f>
        <v>106.38297872340425</v>
      </c>
      <c r="AU11" s="278"/>
      <c r="AV11" s="278">
        <f t="shared" si="2"/>
        <v>10.638297872340425</v>
      </c>
      <c r="AW11" s="278">
        <f t="shared" si="6"/>
        <v>106.38297872340425</v>
      </c>
      <c r="AX11" s="232">
        <f>IF(ISNUMBER(AS12),SUM(AU11:AV11),SUM(AU11:AW11))</f>
        <v>10.638297872340425</v>
      </c>
      <c r="AY11" s="279">
        <f t="shared" si="0"/>
        <v>3.6531480770634062E-2</v>
      </c>
      <c r="AZ11" s="232">
        <f t="shared" si="4"/>
        <v>2.7760922980253462E-2</v>
      </c>
      <c r="BA11" s="232"/>
    </row>
    <row r="12" spans="1:54" ht="22.75" customHeight="1" thickBot="1" x14ac:dyDescent="0.25">
      <c r="A12" s="246"/>
      <c r="B12" s="247"/>
      <c r="C12" s="241"/>
      <c r="D12" s="240"/>
      <c r="E12" s="234"/>
      <c r="F12" s="390"/>
      <c r="G12" s="391"/>
      <c r="H12" s="241"/>
      <c r="I12" s="241"/>
      <c r="J12" s="380"/>
      <c r="K12" s="238"/>
      <c r="L12" s="312" t="s">
        <v>399</v>
      </c>
      <c r="M12" s="313">
        <v>0.66</v>
      </c>
      <c r="N12" s="244"/>
      <c r="O12" s="238"/>
      <c r="P12" s="246"/>
      <c r="Q12" s="293"/>
      <c r="R12" s="253" t="s">
        <v>396</v>
      </c>
      <c r="S12" s="468">
        <f>T6*M12</f>
        <v>5.06046497122601E-3</v>
      </c>
      <c r="T12" s="582">
        <f>M13*S12/(M7/M10)</f>
        <v>3.3736433141506733E-2</v>
      </c>
      <c r="U12" s="582"/>
      <c r="V12" s="594" t="s">
        <v>120</v>
      </c>
      <c r="W12" s="595"/>
      <c r="X12" s="238"/>
      <c r="Y12" s="246"/>
      <c r="Z12" s="363" t="s">
        <v>286</v>
      </c>
      <c r="AA12" s="358"/>
      <c r="AB12" s="364"/>
      <c r="AC12" s="246"/>
      <c r="AD12" s="246"/>
      <c r="AE12" s="246"/>
      <c r="AF12" s="246"/>
      <c r="AG12" s="246"/>
      <c r="AH12" s="246"/>
      <c r="AI12" s="246"/>
      <c r="AJ12" s="246"/>
      <c r="AK12" s="246"/>
      <c r="AL12" s="246"/>
      <c r="AM12" s="246"/>
      <c r="AN12" s="246"/>
      <c r="AO12" s="246"/>
      <c r="AP12" s="246"/>
      <c r="AQ12" s="246"/>
      <c r="AS12" s="232">
        <f t="shared" si="1"/>
        <v>8</v>
      </c>
      <c r="AT12" s="278">
        <f>IF(ISNUMBER(AS12),AW11,0)</f>
        <v>106.38297872340425</v>
      </c>
      <c r="AU12" s="278"/>
      <c r="AV12" s="278">
        <f t="shared" si="2"/>
        <v>10.638297872340425</v>
      </c>
      <c r="AW12" s="278">
        <f t="shared" si="6"/>
        <v>106.38297872340425</v>
      </c>
      <c r="AX12" s="232">
        <f>IF(ISNUMBER(AS13),SUM(AU12:AV12),SUM(AU12:AW12))</f>
        <v>10.638297872340425</v>
      </c>
      <c r="AY12" s="279">
        <f t="shared" si="0"/>
        <v>3.6531480770634062E-2</v>
      </c>
      <c r="AZ12" s="232">
        <f t="shared" si="4"/>
        <v>2.6693195173320632E-2</v>
      </c>
      <c r="BA12" s="232"/>
    </row>
    <row r="13" spans="1:54" ht="30.75" customHeight="1" x14ac:dyDescent="0.2">
      <c r="A13" s="246"/>
      <c r="B13" s="247"/>
      <c r="C13" s="241"/>
      <c r="D13" s="240"/>
      <c r="E13" s="234"/>
      <c r="F13" s="461" t="s">
        <v>217</v>
      </c>
      <c r="G13" s="507">
        <v>2</v>
      </c>
      <c r="H13" s="238"/>
      <c r="I13" s="241"/>
      <c r="J13" s="380"/>
      <c r="K13" s="238"/>
      <c r="L13" s="312" t="s">
        <v>398</v>
      </c>
      <c r="M13" s="437">
        <v>0.5</v>
      </c>
      <c r="N13" s="244"/>
      <c r="O13" s="238"/>
      <c r="P13" s="246"/>
      <c r="Q13" s="596" t="s">
        <v>122</v>
      </c>
      <c r="R13" s="457" t="s">
        <v>442</v>
      </c>
      <c r="S13" s="457" t="s">
        <v>563</v>
      </c>
      <c r="T13" s="569" t="s">
        <v>564</v>
      </c>
      <c r="U13" s="569"/>
      <c r="V13" s="569" t="s">
        <v>562</v>
      </c>
      <c r="W13" s="570"/>
      <c r="X13" s="238"/>
      <c r="Y13" s="246"/>
      <c r="Z13" s="360" t="s">
        <v>570</v>
      </c>
      <c r="AA13" s="361"/>
      <c r="AB13" s="365">
        <f>IF($AB$10="Yes",MAX(AB6,$AB$9),AB6)/AB6</f>
        <v>1</v>
      </c>
      <c r="AC13" s="246"/>
      <c r="AD13" s="246"/>
      <c r="AE13" s="246"/>
      <c r="AF13" s="246"/>
      <c r="AG13" s="246"/>
      <c r="AH13" s="246"/>
      <c r="AI13" s="246"/>
      <c r="AJ13" s="246"/>
      <c r="AK13" s="246"/>
      <c r="AL13" s="246"/>
      <c r="AM13" s="246"/>
      <c r="AN13" s="246"/>
      <c r="AO13" s="246"/>
      <c r="AP13" s="246"/>
      <c r="AQ13" s="246"/>
      <c r="AS13" s="232">
        <f t="shared" si="1"/>
        <v>9</v>
      </c>
      <c r="AT13" s="278">
        <f>IF(ISNUMBER(AS13),AW12,0)</f>
        <v>106.38297872340425</v>
      </c>
      <c r="AU13" s="278"/>
      <c r="AV13" s="278">
        <f t="shared" si="2"/>
        <v>10.638297872340425</v>
      </c>
      <c r="AW13" s="278">
        <f t="shared" si="6"/>
        <v>106.38297872340425</v>
      </c>
      <c r="AX13" s="232">
        <f t="shared" si="3"/>
        <v>10.638297872340425</v>
      </c>
      <c r="AY13" s="279">
        <f t="shared" si="0"/>
        <v>3.6531480770634062E-2</v>
      </c>
      <c r="AZ13" s="232">
        <f t="shared" si="4"/>
        <v>2.5666533820500603E-2</v>
      </c>
      <c r="BA13" s="232"/>
    </row>
    <row r="14" spans="1:54" ht="21" customHeight="1" thickBot="1" x14ac:dyDescent="0.25">
      <c r="A14" s="246"/>
      <c r="B14" s="597" t="s">
        <v>366</v>
      </c>
      <c r="C14" s="598" t="s">
        <v>529</v>
      </c>
      <c r="D14" s="600">
        <v>15</v>
      </c>
      <c r="E14" s="235"/>
      <c r="F14" s="598" t="s">
        <v>530</v>
      </c>
      <c r="G14" s="600">
        <v>1.8268850000000001E-3</v>
      </c>
      <c r="H14" s="238"/>
      <c r="I14" s="300" t="s">
        <v>539</v>
      </c>
      <c r="J14" s="382">
        <v>1</v>
      </c>
      <c r="K14" s="316"/>
      <c r="L14" s="312" t="s">
        <v>400</v>
      </c>
      <c r="M14" s="447">
        <v>0.8</v>
      </c>
      <c r="N14" s="244"/>
      <c r="O14" s="238"/>
      <c r="P14" s="246"/>
      <c r="Q14" s="577"/>
      <c r="R14" s="462">
        <f>BA5</f>
        <v>0.5763847022359585</v>
      </c>
      <c r="S14" s="462">
        <f>AZ4</f>
        <v>0.31632022465180309</v>
      </c>
      <c r="T14" s="602">
        <f>R14+S14</f>
        <v>0.8927049268877616</v>
      </c>
      <c r="U14" s="602"/>
      <c r="V14" s="582">
        <f>T14/(Emma!Q37/Emma!D16)</f>
        <v>3.3901362303489641E-3</v>
      </c>
      <c r="W14" s="603"/>
      <c r="X14" s="238"/>
      <c r="Y14" s="387"/>
      <c r="Z14" s="360" t="s">
        <v>560</v>
      </c>
      <c r="AA14" s="361"/>
      <c r="AB14" s="365">
        <f>IF($AB$10="Yes",MAX(AB7,$AB$9),AB7)/AB7</f>
        <v>1</v>
      </c>
      <c r="AC14" s="246"/>
      <c r="AD14" s="246"/>
      <c r="AE14" s="246"/>
      <c r="AF14" s="246"/>
      <c r="AG14" s="246"/>
      <c r="AH14" s="246"/>
      <c r="AI14" s="246"/>
      <c r="AJ14" s="246"/>
      <c r="AK14" s="246"/>
      <c r="AL14" s="246"/>
      <c r="AM14" s="246"/>
      <c r="AN14" s="246"/>
      <c r="AO14" s="246"/>
      <c r="AP14" s="246"/>
      <c r="AQ14" s="246"/>
      <c r="AS14" s="232">
        <f t="shared" si="1"/>
        <v>10</v>
      </c>
      <c r="AT14" s="278">
        <f t="shared" si="5"/>
        <v>106.38297872340425</v>
      </c>
      <c r="AU14" s="278"/>
      <c r="AV14" s="278">
        <f t="shared" si="2"/>
        <v>10.638297872340425</v>
      </c>
      <c r="AW14" s="278">
        <f t="shared" si="6"/>
        <v>106.38297872340425</v>
      </c>
      <c r="AX14" s="232">
        <f t="shared" si="3"/>
        <v>10.638297872340425</v>
      </c>
      <c r="AY14" s="279">
        <f t="shared" si="0"/>
        <v>3.6531480770634062E-2</v>
      </c>
      <c r="AZ14" s="232">
        <f t="shared" si="4"/>
        <v>2.4679359442789043E-2</v>
      </c>
      <c r="BA14" s="232"/>
    </row>
    <row r="15" spans="1:54" ht="21" customHeight="1" thickBot="1" x14ac:dyDescent="0.25">
      <c r="A15" s="246"/>
      <c r="B15" s="597"/>
      <c r="C15" s="599"/>
      <c r="D15" s="601"/>
      <c r="E15" s="235"/>
      <c r="F15" s="599"/>
      <c r="G15" s="601"/>
      <c r="H15" s="238"/>
      <c r="I15" s="300" t="s">
        <v>538</v>
      </c>
      <c r="J15" s="383">
        <f>(75%+90%)/2</f>
        <v>0.82499999999999996</v>
      </c>
      <c r="K15" s="316"/>
      <c r="L15" s="322" t="s">
        <v>403</v>
      </c>
      <c r="M15" s="438">
        <v>3.5999999999999997E-2</v>
      </c>
      <c r="N15" s="244"/>
      <c r="O15" s="238"/>
      <c r="P15" s="246"/>
      <c r="Q15" s="463" t="s">
        <v>129</v>
      </c>
      <c r="R15" s="415"/>
      <c r="S15" s="465" t="s">
        <v>561</v>
      </c>
      <c r="T15" s="604" t="s">
        <v>560</v>
      </c>
      <c r="U15" s="605"/>
      <c r="V15" s="465" t="s">
        <v>566</v>
      </c>
      <c r="W15" s="430" t="s">
        <v>576</v>
      </c>
      <c r="X15" s="238"/>
      <c r="Y15" s="387"/>
      <c r="Z15" s="366" t="s">
        <v>566</v>
      </c>
      <c r="AA15" s="367"/>
      <c r="AB15" s="368">
        <f>IF($AB$10="Yes",MAX(AB8,$AB$9),AB8)/AB8</f>
        <v>1</v>
      </c>
      <c r="AC15" s="246"/>
      <c r="AD15" s="246"/>
      <c r="AE15" s="246"/>
      <c r="AF15" s="246"/>
      <c r="AG15" s="246"/>
      <c r="AH15" s="246"/>
      <c r="AI15" s="246"/>
      <c r="AJ15" s="246"/>
      <c r="AK15" s="246"/>
      <c r="AL15" s="246"/>
      <c r="AM15" s="246"/>
      <c r="AN15" s="246"/>
      <c r="AO15" s="246"/>
      <c r="AP15" s="246"/>
      <c r="AQ15" s="246"/>
      <c r="AS15" s="232">
        <f t="shared" si="1"/>
        <v>11</v>
      </c>
      <c r="AT15" s="278">
        <f t="shared" si="5"/>
        <v>106.38297872340425</v>
      </c>
      <c r="AU15" s="278"/>
      <c r="AV15" s="278">
        <f t="shared" si="2"/>
        <v>10.638297872340425</v>
      </c>
      <c r="AW15" s="278">
        <f t="shared" si="6"/>
        <v>106.38297872340425</v>
      </c>
      <c r="AX15" s="232">
        <f>IF(ISNUMBER(AS16),SUM(AU15:AV15),SUM(AU15:AW15))</f>
        <v>10.638297872340425</v>
      </c>
      <c r="AY15" s="279">
        <f t="shared" si="0"/>
        <v>3.6531480770634062E-2</v>
      </c>
      <c r="AZ15" s="232">
        <f t="shared" si="4"/>
        <v>2.3730153310374081E-2</v>
      </c>
      <c r="BA15" s="232"/>
    </row>
    <row r="16" spans="1:54" ht="21" customHeight="1" x14ac:dyDescent="0.2">
      <c r="A16" s="246"/>
      <c r="B16" s="597"/>
      <c r="C16" s="606" t="s">
        <v>547</v>
      </c>
      <c r="D16" s="608">
        <v>0.80800000000000005</v>
      </c>
      <c r="E16" s="235"/>
      <c r="F16" s="606" t="s">
        <v>345</v>
      </c>
      <c r="G16" s="610">
        <v>35</v>
      </c>
      <c r="H16" s="238"/>
      <c r="I16" s="296" t="s">
        <v>556</v>
      </c>
      <c r="J16" s="384">
        <v>0.51</v>
      </c>
      <c r="K16" s="317"/>
      <c r="L16" s="238"/>
      <c r="M16" s="238"/>
      <c r="N16" s="244"/>
      <c r="O16" s="238"/>
      <c r="P16" s="246"/>
      <c r="Q16" s="459"/>
      <c r="R16" s="413" t="s">
        <v>126</v>
      </c>
      <c r="S16" s="490">
        <f>$T9/$T$9</f>
        <v>1</v>
      </c>
      <c r="T16" s="612">
        <f>$T9/$T$10</f>
        <v>1.3131559294842801</v>
      </c>
      <c r="U16" s="613"/>
      <c r="V16" s="490">
        <f>$T9/$T$11</f>
        <v>1.7951619259306604</v>
      </c>
      <c r="W16" s="491">
        <f>$T9/$V$14</f>
        <v>44.42705902683673</v>
      </c>
      <c r="X16" s="238"/>
      <c r="Y16" s="387"/>
      <c r="Z16" s="246"/>
      <c r="AA16" s="246"/>
      <c r="AB16" s="246"/>
      <c r="AC16" s="246"/>
      <c r="AD16" s="246"/>
      <c r="AE16" s="246"/>
      <c r="AF16" s="246"/>
      <c r="AG16" s="246"/>
      <c r="AH16" s="246"/>
      <c r="AI16" s="246"/>
      <c r="AJ16" s="246"/>
      <c r="AK16" s="246"/>
      <c r="AL16" s="246"/>
      <c r="AM16" s="246"/>
      <c r="AN16" s="246"/>
      <c r="AO16" s="246"/>
      <c r="AP16" s="246"/>
      <c r="AQ16" s="246"/>
      <c r="AS16" s="232">
        <f t="shared" si="1"/>
        <v>12</v>
      </c>
      <c r="AT16" s="278">
        <f t="shared" si="5"/>
        <v>106.38297872340425</v>
      </c>
      <c r="AU16" s="278"/>
      <c r="AV16" s="278">
        <f t="shared" si="2"/>
        <v>10.638297872340425</v>
      </c>
      <c r="AW16" s="278">
        <f t="shared" si="6"/>
        <v>106.38297872340425</v>
      </c>
      <c r="AX16" s="232">
        <f t="shared" ref="AX16:AX81" si="7">IF(ISNUMBER(AS17),SUM(AU16:AV16),SUM(AU16:AW16))</f>
        <v>10.638297872340425</v>
      </c>
      <c r="AY16" s="279">
        <f t="shared" si="0"/>
        <v>3.6531480770634062E-2</v>
      </c>
      <c r="AZ16" s="232">
        <f t="shared" si="4"/>
        <v>2.2817455106128919E-2</v>
      </c>
      <c r="BA16" s="232"/>
    </row>
    <row r="17" spans="1:54" ht="31.75" customHeight="1" x14ac:dyDescent="0.2">
      <c r="A17" s="246"/>
      <c r="B17" s="597"/>
      <c r="C17" s="607"/>
      <c r="D17" s="609"/>
      <c r="E17" s="235"/>
      <c r="F17" s="599"/>
      <c r="G17" s="611"/>
      <c r="H17" s="238"/>
      <c r="I17" s="297" t="s">
        <v>535</v>
      </c>
      <c r="J17" s="385">
        <v>0.5292</v>
      </c>
      <c r="K17" s="317"/>
      <c r="L17" s="614" t="s">
        <v>566</v>
      </c>
      <c r="M17" s="614"/>
      <c r="N17" s="244"/>
      <c r="O17" s="238"/>
      <c r="P17" s="246"/>
      <c r="Q17" s="459"/>
      <c r="R17" s="413" t="s">
        <v>127</v>
      </c>
      <c r="S17" s="490">
        <f>$T10/$T$9</f>
        <v>0.76152418577794734</v>
      </c>
      <c r="T17" s="612">
        <f>$T10/$T$10</f>
        <v>1</v>
      </c>
      <c r="U17" s="613"/>
      <c r="V17" s="490">
        <f>$T10/$T$11</f>
        <v>1.3670592239839179</v>
      </c>
      <c r="W17" s="491">
        <f>$T10/$V$14</f>
        <v>33.832279951920647</v>
      </c>
      <c r="X17" s="238"/>
      <c r="Y17" s="387"/>
      <c r="Z17" s="246"/>
      <c r="AA17" s="246"/>
      <c r="AB17" s="246"/>
      <c r="AC17" s="246"/>
      <c r="AD17" s="246"/>
      <c r="AE17" s="246"/>
      <c r="AF17" s="246"/>
      <c r="AG17" s="246"/>
      <c r="AH17" s="246"/>
      <c r="AI17" s="246"/>
      <c r="AJ17" s="246"/>
      <c r="AK17" s="246"/>
      <c r="AL17" s="246"/>
      <c r="AM17" s="246"/>
      <c r="AN17" s="246"/>
      <c r="AO17" s="246"/>
      <c r="AP17" s="246"/>
      <c r="AQ17" s="246"/>
      <c r="AS17" s="232">
        <f>IF(AS16&lt;$D$14,AS16+1,"")</f>
        <v>13</v>
      </c>
      <c r="AT17" s="278">
        <f>IF(ISNUMBER(AS17),AW16,0)</f>
        <v>106.38297872340425</v>
      </c>
      <c r="AU17" s="278"/>
      <c r="AV17" s="278">
        <f t="shared" si="2"/>
        <v>10.638297872340425</v>
      </c>
      <c r="AW17" s="278">
        <f t="shared" si="6"/>
        <v>106.38297872340425</v>
      </c>
      <c r="AX17" s="232">
        <f>IF(ISNUMBER(AS18),SUM(AU17:AV17),SUM(AU17:AW17))</f>
        <v>10.638297872340425</v>
      </c>
      <c r="AY17" s="279">
        <f t="shared" si="0"/>
        <v>3.6531480770634062E-2</v>
      </c>
      <c r="AZ17" s="232">
        <f t="shared" si="4"/>
        <v>2.1939860678970115E-2</v>
      </c>
      <c r="BA17" s="232"/>
    </row>
    <row r="18" spans="1:54" ht="30.75" customHeight="1" x14ac:dyDescent="0.2">
      <c r="A18" s="246"/>
      <c r="B18" s="597"/>
      <c r="C18" s="238"/>
      <c r="D18" s="238"/>
      <c r="E18" s="235"/>
      <c r="F18" s="310" t="s">
        <v>372</v>
      </c>
      <c r="G18" s="308">
        <v>0.5</v>
      </c>
      <c r="H18" s="238"/>
      <c r="I18" s="307" t="s">
        <v>229</v>
      </c>
      <c r="J18" s="306">
        <v>1.244</v>
      </c>
      <c r="K18" s="316"/>
      <c r="L18" s="312" t="s">
        <v>81</v>
      </c>
      <c r="M18" s="137">
        <v>2</v>
      </c>
      <c r="N18" s="244"/>
      <c r="O18" s="238"/>
      <c r="P18" s="238"/>
      <c r="Q18" s="459"/>
      <c r="R18" s="413" t="s">
        <v>128</v>
      </c>
      <c r="S18" s="490">
        <f>$T11/$T$9</f>
        <v>0.55705281264896089</v>
      </c>
      <c r="T18" s="612">
        <f>$T11/$T$10</f>
        <v>0.73149720396587881</v>
      </c>
      <c r="U18" s="613"/>
      <c r="V18" s="490">
        <f>$T11/$T$11</f>
        <v>1</v>
      </c>
      <c r="W18" s="491">
        <f>$T11/$V$14</f>
        <v>24.748218188620811</v>
      </c>
      <c r="X18" s="238"/>
      <c r="Y18" s="246"/>
      <c r="Z18" s="246"/>
      <c r="AA18" s="246"/>
      <c r="AB18" s="246"/>
      <c r="AC18" s="246"/>
      <c r="AD18" s="246"/>
      <c r="AE18" s="246"/>
      <c r="AF18" s="246"/>
      <c r="AG18" s="246"/>
      <c r="AH18" s="246"/>
      <c r="AI18" s="246"/>
      <c r="AJ18" s="246"/>
      <c r="AK18" s="246"/>
      <c r="AL18" s="246"/>
      <c r="AM18" s="246"/>
      <c r="AN18" s="246"/>
      <c r="AO18" s="246"/>
      <c r="AP18" s="246"/>
      <c r="AQ18" s="246"/>
      <c r="AS18" s="232">
        <f>IF(AS17&lt;$D$14,AS17+1,"")</f>
        <v>14</v>
      </c>
      <c r="AT18" s="278">
        <f>IF(ISNUMBER(AS18),AW17,0)</f>
        <v>106.38297872340425</v>
      </c>
      <c r="AU18" s="278"/>
      <c r="AV18" s="278">
        <f t="shared" si="2"/>
        <v>10.638297872340425</v>
      </c>
      <c r="AW18" s="278">
        <f t="shared" si="6"/>
        <v>106.38297872340425</v>
      </c>
      <c r="AX18" s="232">
        <f>IF(ISNUMBER(AS19),SUM(AU18:AV18),SUM(AU18:AW18))</f>
        <v>10.638297872340425</v>
      </c>
      <c r="AY18" s="279">
        <f t="shared" si="0"/>
        <v>3.6531480770634062E-2</v>
      </c>
      <c r="AZ18" s="232">
        <f t="shared" si="4"/>
        <v>2.1096019883625111E-2</v>
      </c>
      <c r="BA18" s="232"/>
    </row>
    <row r="19" spans="1:54" ht="21" customHeight="1" thickBot="1" x14ac:dyDescent="0.25">
      <c r="A19" s="246"/>
      <c r="B19" s="302"/>
      <c r="C19" s="239"/>
      <c r="D19" s="239"/>
      <c r="E19" s="239"/>
      <c r="F19" s="303"/>
      <c r="G19" s="304"/>
      <c r="H19" s="239"/>
      <c r="I19" s="239"/>
      <c r="J19" s="239"/>
      <c r="K19" s="239"/>
      <c r="L19" s="319"/>
      <c r="M19" s="239"/>
      <c r="N19" s="305"/>
      <c r="O19" s="238"/>
      <c r="P19" s="246"/>
      <c r="Q19" s="469"/>
      <c r="R19" s="414" t="s">
        <v>130</v>
      </c>
      <c r="S19" s="492">
        <f>$V14/$T$9</f>
        <v>2.2508804811858855E-2</v>
      </c>
      <c r="T19" s="615">
        <f>$V14/$T$10</f>
        <v>2.9557570504296748E-2</v>
      </c>
      <c r="U19" s="616"/>
      <c r="V19" s="492">
        <f>$V14/$T$11</f>
        <v>4.040694939645386E-2</v>
      </c>
      <c r="W19" s="493">
        <f>$V14/$V$14</f>
        <v>1</v>
      </c>
      <c r="X19" s="238"/>
      <c r="Y19" s="246"/>
      <c r="Z19" s="246"/>
      <c r="AA19" s="246"/>
      <c r="AB19" s="246"/>
      <c r="AC19" s="246"/>
      <c r="AD19" s="246"/>
      <c r="AE19" s="246"/>
      <c r="AF19" s="246"/>
      <c r="AG19" s="246"/>
      <c r="AH19" s="246"/>
      <c r="AI19" s="246"/>
      <c r="AJ19" s="246"/>
      <c r="AK19" s="246"/>
      <c r="AL19" s="246"/>
      <c r="AM19" s="246"/>
      <c r="AN19" s="246"/>
      <c r="AO19" s="246"/>
      <c r="AP19" s="246"/>
      <c r="AQ19" s="246"/>
      <c r="AS19" s="232">
        <f>IF(AS18&lt;$D$14,AS18+1,"")</f>
        <v>15</v>
      </c>
      <c r="AT19" s="278">
        <f>IF(ISNUMBER(AS19),AW18,0)</f>
        <v>106.38297872340425</v>
      </c>
      <c r="AU19" s="278"/>
      <c r="AV19" s="278">
        <f t="shared" si="2"/>
        <v>10.638297872340425</v>
      </c>
      <c r="AW19" s="278">
        <f t="shared" si="6"/>
        <v>106.38297872340425</v>
      </c>
      <c r="AX19" s="232">
        <f t="shared" si="7"/>
        <v>117.02127659574468</v>
      </c>
      <c r="AY19" s="279">
        <f t="shared" si="0"/>
        <v>0.34307646019126814</v>
      </c>
      <c r="AZ19" s="232">
        <f t="shared" si="4"/>
        <v>0.19049818006073513</v>
      </c>
      <c r="BA19" s="232"/>
    </row>
    <row r="20" spans="1:54" ht="9.75" customHeight="1" thickBot="1" x14ac:dyDescent="0.25">
      <c r="A20" s="246"/>
      <c r="B20" s="246"/>
      <c r="C20" s="246"/>
      <c r="D20" s="246"/>
      <c r="E20" s="246"/>
      <c r="F20" s="246"/>
      <c r="G20" s="246"/>
      <c r="H20" s="246"/>
      <c r="I20" s="246"/>
      <c r="J20" s="246"/>
      <c r="K20" s="246"/>
      <c r="L20" s="246"/>
      <c r="M20" s="246"/>
      <c r="N20" s="246"/>
      <c r="O20" s="246"/>
      <c r="P20" s="246"/>
      <c r="Q20" s="238"/>
      <c r="R20" s="238"/>
      <c r="S20" s="238"/>
      <c r="T20" s="238"/>
      <c r="U20" s="238"/>
      <c r="V20" s="238"/>
      <c r="W20" s="238"/>
      <c r="Y20" s="246"/>
      <c r="Z20" s="246"/>
      <c r="AA20" s="246"/>
      <c r="AB20" s="246"/>
      <c r="AC20" s="246"/>
      <c r="AD20" s="246"/>
      <c r="AE20" s="246"/>
      <c r="AF20" s="246"/>
      <c r="AG20" s="246"/>
      <c r="AH20" s="246"/>
      <c r="AI20" s="246"/>
      <c r="AJ20" s="246"/>
      <c r="AK20" s="246"/>
      <c r="AL20" s="246"/>
      <c r="AM20" s="246"/>
      <c r="AN20" s="246"/>
      <c r="AO20" s="246"/>
      <c r="AP20" s="246"/>
      <c r="AQ20" s="246"/>
      <c r="AS20" s="232" t="str">
        <f t="shared" si="1"/>
        <v/>
      </c>
      <c r="AT20" s="278">
        <f t="shared" si="5"/>
        <v>0</v>
      </c>
      <c r="AU20" s="278"/>
      <c r="AV20" s="278">
        <f t="shared" si="2"/>
        <v>0</v>
      </c>
      <c r="AW20" s="278">
        <f t="shared" si="6"/>
        <v>0</v>
      </c>
      <c r="AX20" s="232">
        <f>IF(ISNUMBER(AS21),SUM(AU20:AV20),SUM(AU20:AW20))</f>
        <v>0</v>
      </c>
      <c r="AY20" s="279">
        <f t="shared" si="0"/>
        <v>0</v>
      </c>
      <c r="AZ20" s="232">
        <f t="shared" si="4"/>
        <v>0</v>
      </c>
      <c r="BA20" s="232"/>
    </row>
    <row r="21" spans="1:54" ht="10.5" customHeight="1" x14ac:dyDescent="0.2">
      <c r="A21" s="246"/>
      <c r="B21" s="246"/>
      <c r="C21" s="246"/>
      <c r="D21" s="246"/>
      <c r="E21" s="238"/>
      <c r="F21" s="617" t="s">
        <v>562</v>
      </c>
      <c r="G21" s="257" t="s">
        <v>561</v>
      </c>
      <c r="H21" s="258"/>
      <c r="I21" s="487">
        <f>T9</f>
        <v>0.1506137824147312</v>
      </c>
      <c r="J21" s="259"/>
      <c r="K21" s="260"/>
      <c r="L21" s="263"/>
      <c r="M21" s="263"/>
      <c r="N21" s="263"/>
      <c r="O21" s="263"/>
      <c r="P21" s="238"/>
      <c r="Q21" s="557" t="s">
        <v>285</v>
      </c>
      <c r="R21" s="621" t="s">
        <v>243</v>
      </c>
      <c r="S21" s="622"/>
      <c r="T21" s="355"/>
      <c r="U21" s="625" t="s">
        <v>281</v>
      </c>
      <c r="V21" s="625"/>
      <c r="W21" s="626"/>
      <c r="Y21" s="246"/>
      <c r="Z21" s="246"/>
      <c r="AA21" s="246"/>
      <c r="AB21" s="246"/>
      <c r="AC21" s="246"/>
      <c r="AD21" s="246"/>
      <c r="AE21" s="246"/>
      <c r="AF21" s="246"/>
      <c r="AG21" s="246"/>
      <c r="AH21" s="246"/>
      <c r="AI21" s="246"/>
      <c r="AJ21" s="246"/>
      <c r="AK21" s="246"/>
      <c r="AL21" s="246"/>
      <c r="AM21" s="246"/>
      <c r="AN21" s="246"/>
      <c r="AO21" s="246"/>
      <c r="AP21" s="246"/>
      <c r="AQ21" s="246"/>
      <c r="AS21" s="232" t="str">
        <f>IF(AS20&lt;$D$14,AS20+1,"")</f>
        <v/>
      </c>
      <c r="AT21" s="278">
        <f>IF(ISNUMBER(AS21),AW20,0)</f>
        <v>0</v>
      </c>
      <c r="AU21" s="278"/>
      <c r="AV21" s="278">
        <f t="shared" si="2"/>
        <v>0</v>
      </c>
      <c r="AW21" s="278">
        <f t="shared" si="6"/>
        <v>0</v>
      </c>
      <c r="AX21" s="232">
        <f t="shared" si="7"/>
        <v>0</v>
      </c>
      <c r="AY21" s="279">
        <f t="shared" si="0"/>
        <v>0</v>
      </c>
      <c r="AZ21" s="232">
        <f t="shared" si="4"/>
        <v>0</v>
      </c>
      <c r="BA21" s="232"/>
    </row>
    <row r="22" spans="1:54" ht="12" customHeight="1" thickBot="1" x14ac:dyDescent="0.25">
      <c r="A22" s="246"/>
      <c r="B22" s="246"/>
      <c r="C22" s="246"/>
      <c r="D22" s="246"/>
      <c r="E22" s="238"/>
      <c r="F22" s="618"/>
      <c r="G22" s="261" t="s">
        <v>560</v>
      </c>
      <c r="H22" s="262"/>
      <c r="I22" s="488">
        <f>T10</f>
        <v>0.1146960380203151</v>
      </c>
      <c r="J22" s="263"/>
      <c r="K22" s="264"/>
      <c r="L22" s="263"/>
      <c r="M22" s="263"/>
      <c r="N22" s="263"/>
      <c r="O22" s="263"/>
      <c r="P22" s="238"/>
      <c r="Q22" s="619"/>
      <c r="R22" s="623"/>
      <c r="S22" s="624"/>
      <c r="T22" s="356"/>
      <c r="U22" s="627"/>
      <c r="V22" s="627"/>
      <c r="W22" s="628"/>
      <c r="Y22" s="246"/>
      <c r="Z22" s="246"/>
      <c r="AA22" s="246"/>
      <c r="AB22" s="246"/>
      <c r="AC22" s="246"/>
      <c r="AD22" s="246"/>
      <c r="AE22" s="246"/>
      <c r="AF22" s="246"/>
      <c r="AG22" s="246"/>
      <c r="AH22" s="246"/>
      <c r="AI22" s="246"/>
      <c r="AJ22" s="246"/>
      <c r="AK22" s="246"/>
      <c r="AL22" s="246"/>
      <c r="AM22" s="246"/>
      <c r="AN22" s="246"/>
      <c r="AO22" s="246"/>
      <c r="AP22" s="246"/>
      <c r="AQ22" s="246"/>
      <c r="AS22" s="232" t="str">
        <f t="shared" si="1"/>
        <v/>
      </c>
      <c r="AT22" s="278">
        <f t="shared" si="5"/>
        <v>0</v>
      </c>
      <c r="AU22" s="278"/>
      <c r="AV22" s="278">
        <f t="shared" si="2"/>
        <v>0</v>
      </c>
      <c r="AW22" s="278">
        <f t="shared" si="6"/>
        <v>0</v>
      </c>
      <c r="AX22" s="232">
        <f t="shared" si="7"/>
        <v>0</v>
      </c>
      <c r="AY22" s="279">
        <f t="shared" si="0"/>
        <v>0</v>
      </c>
      <c r="AZ22" s="232">
        <f t="shared" si="4"/>
        <v>0</v>
      </c>
      <c r="BA22" s="232"/>
    </row>
    <row r="23" spans="1:54" ht="10.75" customHeight="1" x14ac:dyDescent="0.2">
      <c r="A23" s="246"/>
      <c r="B23" s="565" t="s">
        <v>410</v>
      </c>
      <c r="C23" s="637"/>
      <c r="D23" s="637"/>
      <c r="E23" s="637"/>
      <c r="F23" s="618"/>
      <c r="G23" s="261" t="s">
        <v>390</v>
      </c>
      <c r="H23" s="262"/>
      <c r="I23" s="488">
        <f>T12</f>
        <v>3.3736433141506733E-2</v>
      </c>
      <c r="J23" s="263"/>
      <c r="K23" s="264"/>
      <c r="L23" s="263"/>
      <c r="M23" s="263"/>
      <c r="N23" s="263"/>
      <c r="O23" s="263"/>
      <c r="P23" s="238"/>
      <c r="Q23" s="619"/>
      <c r="R23" s="347" t="s">
        <v>566</v>
      </c>
      <c r="S23" s="494">
        <f>(R37/S37)*T5</f>
        <v>239.87943017239607</v>
      </c>
      <c r="T23" s="495"/>
      <c r="U23" s="496"/>
      <c r="V23" s="496"/>
      <c r="W23" s="497"/>
      <c r="Y23" s="246"/>
      <c r="Z23" s="246"/>
      <c r="AA23" s="246"/>
      <c r="AB23" s="246"/>
      <c r="AC23" s="246"/>
      <c r="AD23" s="246"/>
      <c r="AE23" s="246"/>
      <c r="AF23" s="246"/>
      <c r="AG23" s="246"/>
      <c r="AH23" s="246"/>
      <c r="AI23" s="246"/>
      <c r="AJ23" s="246"/>
      <c r="AK23" s="246"/>
      <c r="AL23" s="246"/>
      <c r="AM23" s="246"/>
      <c r="AN23" s="246"/>
      <c r="AO23" s="246"/>
      <c r="AP23" s="246"/>
      <c r="AQ23" s="246"/>
      <c r="AS23" s="232" t="str">
        <f t="shared" si="1"/>
        <v/>
      </c>
      <c r="AT23" s="278">
        <f t="shared" si="5"/>
        <v>0</v>
      </c>
      <c r="AU23" s="278"/>
      <c r="AV23" s="278">
        <f t="shared" si="2"/>
        <v>0</v>
      </c>
      <c r="AW23" s="278">
        <f t="shared" si="6"/>
        <v>0</v>
      </c>
      <c r="AX23" s="232">
        <f t="shared" si="7"/>
        <v>0</v>
      </c>
      <c r="AY23" s="279">
        <f t="shared" si="0"/>
        <v>0</v>
      </c>
      <c r="AZ23" s="232">
        <f t="shared" si="4"/>
        <v>0</v>
      </c>
      <c r="BA23" s="232"/>
    </row>
    <row r="24" spans="1:54" ht="12.75" customHeight="1" x14ac:dyDescent="0.2">
      <c r="A24" s="246"/>
      <c r="B24" s="638"/>
      <c r="C24" s="639"/>
      <c r="D24" s="639"/>
      <c r="E24" s="639"/>
      <c r="F24" s="618"/>
      <c r="G24" s="261" t="s">
        <v>542</v>
      </c>
      <c r="H24" s="262"/>
      <c r="I24" s="488">
        <f>V14</f>
        <v>3.3901362303489641E-3</v>
      </c>
      <c r="J24" s="263"/>
      <c r="K24" s="264"/>
      <c r="L24" s="263"/>
      <c r="M24" s="263"/>
      <c r="N24" s="263"/>
      <c r="O24" s="263"/>
      <c r="P24" s="238"/>
      <c r="Q24" s="619"/>
      <c r="R24" s="347" t="s">
        <v>570</v>
      </c>
      <c r="S24" s="494">
        <f>T9*$R$37</f>
        <v>427.48153460328444</v>
      </c>
      <c r="T24" s="495"/>
      <c r="U24" s="496" t="s">
        <v>570</v>
      </c>
      <c r="V24" s="496"/>
      <c r="W24" s="497">
        <f>S24/S$23</f>
        <v>1.7820683261422743</v>
      </c>
      <c r="Y24" s="246"/>
      <c r="Z24" s="246"/>
      <c r="AA24" s="246"/>
      <c r="AB24" s="246"/>
      <c r="AC24" s="246"/>
      <c r="AD24" s="246"/>
      <c r="AE24" s="246"/>
      <c r="AF24" s="246"/>
      <c r="AG24" s="246"/>
      <c r="AH24" s="246"/>
      <c r="AI24" s="246"/>
      <c r="AJ24" s="246"/>
      <c r="AK24" s="246"/>
      <c r="AL24" s="246"/>
      <c r="AM24" s="246"/>
      <c r="AN24" s="246"/>
      <c r="AO24" s="246"/>
      <c r="AP24" s="246"/>
      <c r="AQ24" s="246"/>
      <c r="AS24" s="232" t="str">
        <f t="shared" si="1"/>
        <v/>
      </c>
      <c r="AT24" s="278">
        <f t="shared" si="5"/>
        <v>0</v>
      </c>
      <c r="AU24" s="278"/>
      <c r="AV24" s="278">
        <f t="shared" si="2"/>
        <v>0</v>
      </c>
      <c r="AW24" s="278">
        <f t="shared" si="6"/>
        <v>0</v>
      </c>
      <c r="AX24" s="232">
        <f>IF(ISNUMBER(AS25),SUM(AU24:AV24),SUM(AU24:AW24))</f>
        <v>0</v>
      </c>
      <c r="AY24" s="279">
        <f t="shared" si="0"/>
        <v>0</v>
      </c>
      <c r="AZ24" s="232">
        <f t="shared" si="4"/>
        <v>0</v>
      </c>
      <c r="BA24" s="232"/>
    </row>
    <row r="25" spans="1:54" ht="14.5" customHeight="1" thickBot="1" x14ac:dyDescent="0.25">
      <c r="A25" s="246"/>
      <c r="B25" s="638"/>
      <c r="C25" s="639"/>
      <c r="D25" s="639"/>
      <c r="E25" s="639"/>
      <c r="F25" s="265" t="s">
        <v>574</v>
      </c>
      <c r="G25" s="266"/>
      <c r="H25" s="266"/>
      <c r="I25" s="267">
        <f>V14*J37</f>
        <v>0.96931550797254107</v>
      </c>
      <c r="J25" s="263"/>
      <c r="K25" s="264"/>
      <c r="L25" s="263"/>
      <c r="M25" s="263"/>
      <c r="N25" s="263"/>
      <c r="O25" s="263"/>
      <c r="P25" s="238"/>
      <c r="Q25" s="620"/>
      <c r="R25" s="347" t="s">
        <v>560</v>
      </c>
      <c r="S25" s="494">
        <f>T10*$R$37</f>
        <v>325.5375275738736</v>
      </c>
      <c r="T25" s="495"/>
      <c r="U25" s="496" t="s">
        <v>560</v>
      </c>
      <c r="V25" s="496"/>
      <c r="W25" s="497">
        <f>S25/S$23</f>
        <v>1.3570881310661649</v>
      </c>
      <c r="Y25" s="246"/>
      <c r="Z25" s="246"/>
      <c r="AA25" s="246"/>
      <c r="AB25" s="246"/>
      <c r="AC25" s="246"/>
      <c r="AD25" s="246"/>
      <c r="AE25" s="246"/>
      <c r="AF25" s="246"/>
      <c r="AG25" s="246"/>
      <c r="AH25" s="246"/>
      <c r="AI25" s="246"/>
      <c r="AJ25" s="246"/>
      <c r="AK25" s="246"/>
      <c r="AL25" s="246"/>
      <c r="AM25" s="246"/>
      <c r="AN25" s="246"/>
      <c r="AO25" s="246"/>
      <c r="AP25" s="246"/>
      <c r="AQ25" s="246"/>
      <c r="AS25" s="232" t="str">
        <f>IF(AS24&lt;$D$14,AS24+1,"")</f>
        <v/>
      </c>
      <c r="AT25" s="278">
        <f>IF(ISNUMBER(AS25),AW24,0)</f>
        <v>0</v>
      </c>
      <c r="AU25" s="278"/>
      <c r="AV25" s="278">
        <f t="shared" si="2"/>
        <v>0</v>
      </c>
      <c r="AW25" s="278">
        <f t="shared" si="6"/>
        <v>0</v>
      </c>
      <c r="AX25" s="232">
        <f t="shared" si="7"/>
        <v>0</v>
      </c>
      <c r="AY25" s="279">
        <f t="shared" si="0"/>
        <v>0</v>
      </c>
      <c r="AZ25" s="232">
        <f t="shared" si="4"/>
        <v>0</v>
      </c>
      <c r="BA25" s="232"/>
    </row>
    <row r="26" spans="1:54" ht="12" customHeight="1" thickBot="1" x14ac:dyDescent="0.25">
      <c r="A26" s="246"/>
      <c r="B26" s="567"/>
      <c r="C26" s="640"/>
      <c r="D26" s="640"/>
      <c r="E26" s="640"/>
      <c r="F26" s="247"/>
      <c r="G26" s="238"/>
      <c r="H26" s="238"/>
      <c r="I26" s="238"/>
      <c r="J26" s="238"/>
      <c r="K26" s="244"/>
      <c r="L26" s="238"/>
      <c r="M26" s="238"/>
      <c r="N26" s="238"/>
      <c r="O26" s="263"/>
      <c r="P26" s="238"/>
      <c r="Q26" s="238"/>
      <c r="R26" s="347" t="s">
        <v>390</v>
      </c>
      <c r="S26" s="494">
        <f>T12*$R$37</f>
        <v>95.752871883004033</v>
      </c>
      <c r="T26" s="495"/>
      <c r="U26" s="496" t="s">
        <v>390</v>
      </c>
      <c r="V26" s="496"/>
      <c r="W26" s="497">
        <f>S26/S$23</f>
        <v>0.39917083267284964</v>
      </c>
      <c r="Y26" s="246"/>
      <c r="Z26" s="246"/>
      <c r="AA26" s="246"/>
      <c r="AB26" s="246"/>
      <c r="AC26" s="246"/>
      <c r="AD26" s="246"/>
      <c r="AE26" s="246"/>
      <c r="AF26" s="246"/>
      <c r="AG26" s="246"/>
      <c r="AH26" s="246"/>
      <c r="AI26" s="246"/>
      <c r="AJ26" s="246"/>
      <c r="AK26" s="246"/>
      <c r="AL26" s="246"/>
      <c r="AM26" s="246"/>
      <c r="AN26" s="246"/>
      <c r="AO26" s="246"/>
      <c r="AP26" s="246"/>
      <c r="AQ26" s="246"/>
      <c r="AS26" s="232" t="str">
        <f t="shared" si="1"/>
        <v/>
      </c>
      <c r="AT26" s="278">
        <f t="shared" si="5"/>
        <v>0</v>
      </c>
      <c r="AU26" s="278"/>
      <c r="AV26" s="278">
        <f t="shared" si="2"/>
        <v>0</v>
      </c>
      <c r="AW26" s="278">
        <f t="shared" si="6"/>
        <v>0</v>
      </c>
      <c r="AX26" s="232">
        <f t="shared" si="7"/>
        <v>0</v>
      </c>
      <c r="AY26" s="279">
        <f t="shared" si="0"/>
        <v>0</v>
      </c>
      <c r="AZ26" s="232">
        <f t="shared" si="4"/>
        <v>0</v>
      </c>
      <c r="BA26" s="232"/>
    </row>
    <row r="27" spans="1:54" ht="12.75" customHeight="1" x14ac:dyDescent="0.2">
      <c r="A27" s="246"/>
      <c r="B27" s="246"/>
      <c r="C27" s="246"/>
      <c r="D27" s="246"/>
      <c r="E27" s="238"/>
      <c r="F27" s="268" t="s">
        <v>282</v>
      </c>
      <c r="G27" s="489">
        <f>I21/I$24</f>
        <v>44.42705902683673</v>
      </c>
      <c r="H27" s="269" t="s">
        <v>568</v>
      </c>
      <c r="I27" s="266"/>
      <c r="J27" s="266"/>
      <c r="K27" s="270"/>
      <c r="L27" s="238"/>
      <c r="M27" s="238"/>
      <c r="N27" s="238"/>
      <c r="O27" s="263"/>
      <c r="P27" s="238"/>
      <c r="R27" s="347" t="s">
        <v>542</v>
      </c>
      <c r="S27" s="494">
        <f>V14*$R$37</f>
        <v>9.6220984230592155</v>
      </c>
      <c r="T27" s="495"/>
      <c r="U27" s="496" t="s">
        <v>542</v>
      </c>
      <c r="V27" s="496"/>
      <c r="W27" s="497">
        <f>S27/S$23</f>
        <v>4.0112228114532474E-2</v>
      </c>
      <c r="Y27" s="246"/>
      <c r="Z27" s="246"/>
      <c r="AA27" s="246"/>
      <c r="AB27" s="246"/>
      <c r="AC27" s="246"/>
      <c r="AD27" s="246"/>
      <c r="AE27" s="246"/>
      <c r="AF27" s="246"/>
      <c r="AG27" s="246"/>
      <c r="AH27" s="246"/>
      <c r="AI27" s="246"/>
      <c r="AJ27" s="246"/>
      <c r="AK27" s="246"/>
      <c r="AL27" s="246"/>
      <c r="AM27" s="246"/>
      <c r="AN27" s="246"/>
      <c r="AO27" s="246"/>
      <c r="AP27" s="246"/>
      <c r="AQ27" s="246"/>
      <c r="AS27" s="232" t="str">
        <f t="shared" si="1"/>
        <v/>
      </c>
      <c r="AT27" s="278">
        <f t="shared" si="5"/>
        <v>0</v>
      </c>
      <c r="AU27" s="278"/>
      <c r="AV27" s="278">
        <f t="shared" si="2"/>
        <v>0</v>
      </c>
      <c r="AW27" s="278">
        <f t="shared" si="6"/>
        <v>0</v>
      </c>
      <c r="AX27" s="232">
        <f t="shared" si="7"/>
        <v>0</v>
      </c>
      <c r="AY27" s="279">
        <f t="shared" si="0"/>
        <v>0</v>
      </c>
      <c r="AZ27" s="232">
        <f t="shared" si="4"/>
        <v>0</v>
      </c>
      <c r="BA27" s="288"/>
      <c r="BB27" s="246"/>
    </row>
    <row r="28" spans="1:54" s="246" customFormat="1" ht="14.5" customHeight="1" x14ac:dyDescent="0.2">
      <c r="E28" s="238"/>
      <c r="F28" s="268" t="s">
        <v>569</v>
      </c>
      <c r="G28" s="489">
        <f>I22/I$24</f>
        <v>33.832279951920647</v>
      </c>
      <c r="H28" s="269" t="s">
        <v>568</v>
      </c>
      <c r="I28" s="266"/>
      <c r="J28" s="266"/>
      <c r="K28" s="270"/>
      <c r="L28" s="238"/>
      <c r="M28" s="238"/>
      <c r="N28" s="238"/>
      <c r="O28" s="263"/>
      <c r="P28" s="238"/>
      <c r="R28" s="345" t="s">
        <v>247</v>
      </c>
      <c r="S28" s="498"/>
      <c r="T28" s="495"/>
      <c r="U28" s="495"/>
      <c r="V28" s="495"/>
      <c r="W28" s="499" t="s">
        <v>280</v>
      </c>
      <c r="AS28" s="232" t="str">
        <f t="shared" si="1"/>
        <v/>
      </c>
      <c r="AT28" s="278">
        <f t="shared" si="5"/>
        <v>0</v>
      </c>
      <c r="AU28" s="278"/>
      <c r="AV28" s="278">
        <f t="shared" si="2"/>
        <v>0</v>
      </c>
      <c r="AW28" s="278">
        <f t="shared" si="6"/>
        <v>0</v>
      </c>
      <c r="AX28" s="232">
        <f>IF(ISNUMBER(AS29),SUM(AU28:AV28),SUM(AU28:AW28))</f>
        <v>0</v>
      </c>
      <c r="AY28" s="279">
        <f t="shared" si="0"/>
        <v>0</v>
      </c>
      <c r="AZ28" s="232">
        <f t="shared" si="4"/>
        <v>0</v>
      </c>
      <c r="BA28" s="232"/>
      <c r="BB28" s="233"/>
    </row>
    <row r="29" spans="1:54" ht="13.75" customHeight="1" x14ac:dyDescent="0.2">
      <c r="A29" s="246"/>
      <c r="B29" s="246"/>
      <c r="C29" s="246"/>
      <c r="D29" s="246"/>
      <c r="E29" s="238"/>
      <c r="F29" s="268" t="s">
        <v>407</v>
      </c>
      <c r="G29" s="489">
        <f>I23/I$24</f>
        <v>9.9513502848332642</v>
      </c>
      <c r="H29" s="269" t="s">
        <v>568</v>
      </c>
      <c r="I29" s="266"/>
      <c r="J29" s="266"/>
      <c r="K29" s="270"/>
      <c r="L29" s="238"/>
      <c r="M29" s="238"/>
      <c r="N29" s="238"/>
      <c r="O29" s="263"/>
      <c r="P29" s="238"/>
      <c r="Q29" s="344"/>
      <c r="R29" s="346" t="s">
        <v>570</v>
      </c>
      <c r="S29" s="494">
        <f>IFERROR(IF(S24-S$23&gt;0,S24-S$23,"N/A"),"N/A")</f>
        <v>187.60210443088837</v>
      </c>
      <c r="T29" s="500"/>
      <c r="U29" s="496"/>
      <c r="V29" s="496"/>
      <c r="W29" s="501" t="str">
        <f>IF(AND(S29&lt;&gt;"N/A",S29&gt;=$W$33),R29,"Bednets")</f>
        <v>Deworm the World</v>
      </c>
      <c r="Y29" s="246"/>
      <c r="Z29" s="246"/>
      <c r="AA29" s="246"/>
      <c r="AB29" s="246"/>
      <c r="AC29" s="246"/>
      <c r="AD29" s="246"/>
      <c r="AE29" s="246"/>
      <c r="AF29" s="246"/>
      <c r="AG29" s="246"/>
      <c r="AH29" s="246"/>
      <c r="AI29" s="246"/>
      <c r="AJ29" s="246"/>
      <c r="AK29" s="246"/>
      <c r="AL29" s="246"/>
      <c r="AM29" s="246"/>
      <c r="AN29" s="246"/>
      <c r="AO29" s="246"/>
      <c r="AP29" s="246"/>
      <c r="AQ29" s="246"/>
      <c r="AS29" s="232" t="str">
        <f>IF(AS28&lt;$D$14,AS28+1,"")</f>
        <v/>
      </c>
      <c r="AT29" s="278">
        <f>IF(ISNUMBER(AS29),AW28,0)</f>
        <v>0</v>
      </c>
      <c r="AU29" s="278"/>
      <c r="AV29" s="278">
        <f t="shared" si="2"/>
        <v>0</v>
      </c>
      <c r="AW29" s="278">
        <f t="shared" si="6"/>
        <v>0</v>
      </c>
      <c r="AX29" s="232">
        <f t="shared" si="7"/>
        <v>0</v>
      </c>
      <c r="AY29" s="279">
        <f t="shared" si="0"/>
        <v>0</v>
      </c>
      <c r="AZ29" s="232">
        <f t="shared" si="4"/>
        <v>0</v>
      </c>
      <c r="BA29" s="232"/>
    </row>
    <row r="30" spans="1:54" ht="13.5" customHeight="1" x14ac:dyDescent="0.2">
      <c r="A30" s="246"/>
      <c r="B30" s="246"/>
      <c r="C30" s="246"/>
      <c r="D30" s="246"/>
      <c r="E30" s="238"/>
      <c r="F30" s="247"/>
      <c r="G30" s="238"/>
      <c r="H30" s="238"/>
      <c r="I30" s="238"/>
      <c r="J30" s="263"/>
      <c r="K30" s="264"/>
      <c r="L30" s="238"/>
      <c r="M30" s="238"/>
      <c r="N30" s="238"/>
      <c r="O30" s="263"/>
      <c r="P30" s="238"/>
      <c r="Q30" s="344"/>
      <c r="R30" s="346" t="s">
        <v>560</v>
      </c>
      <c r="S30" s="494">
        <f>IFERROR(IF(S25-S$23&gt;0,S25-S$23,"N/A"),"N/A")</f>
        <v>85.658097401477534</v>
      </c>
      <c r="T30" s="500"/>
      <c r="U30" s="496"/>
      <c r="V30" s="496"/>
      <c r="W30" s="501" t="str">
        <f>IF(AND(S30&lt;&gt;"N/A",S30&gt;=$W$33),R30,"Bednets")</f>
        <v>Bednets</v>
      </c>
      <c r="Y30" s="246"/>
      <c r="Z30" s="246"/>
      <c r="AA30" s="246"/>
      <c r="AB30" s="246"/>
      <c r="AC30" s="246"/>
      <c r="AD30" s="246"/>
      <c r="AE30" s="246"/>
      <c r="AF30" s="246"/>
      <c r="AG30" s="246"/>
      <c r="AH30" s="246"/>
      <c r="AI30" s="246"/>
      <c r="AJ30" s="246"/>
      <c r="AK30" s="246"/>
      <c r="AL30" s="246"/>
      <c r="AM30" s="246"/>
      <c r="AN30" s="246"/>
      <c r="AO30" s="246"/>
      <c r="AP30" s="246"/>
      <c r="AQ30" s="246"/>
      <c r="AS30" s="232" t="str">
        <f t="shared" si="1"/>
        <v/>
      </c>
      <c r="AT30" s="278">
        <f t="shared" si="5"/>
        <v>0</v>
      </c>
      <c r="AU30" s="278"/>
      <c r="AV30" s="278">
        <f t="shared" si="2"/>
        <v>0</v>
      </c>
      <c r="AW30" s="278">
        <f t="shared" si="6"/>
        <v>0</v>
      </c>
      <c r="AX30" s="232">
        <f>IF(ISNUMBER(AS33),SUM(AU30:AV30),SUM(AU30:AW30))</f>
        <v>0</v>
      </c>
      <c r="AY30" s="279">
        <f t="shared" si="0"/>
        <v>0</v>
      </c>
      <c r="AZ30" s="232">
        <f t="shared" si="4"/>
        <v>0</v>
      </c>
      <c r="BA30" s="232"/>
    </row>
    <row r="31" spans="1:54" ht="13.5" customHeight="1" x14ac:dyDescent="0.2">
      <c r="A31" s="246"/>
      <c r="B31" s="246"/>
      <c r="C31" s="246"/>
      <c r="D31" s="246"/>
      <c r="E31" s="238"/>
      <c r="F31" s="618" t="s">
        <v>446</v>
      </c>
      <c r="G31" s="261" t="s">
        <v>570</v>
      </c>
      <c r="H31" s="262"/>
      <c r="I31" s="431">
        <f>V9</f>
        <v>727.52306092594836</v>
      </c>
      <c r="J31" s="263"/>
      <c r="K31" s="264"/>
      <c r="L31" s="238"/>
      <c r="M31" s="238"/>
      <c r="N31" s="238"/>
      <c r="O31" s="263"/>
      <c r="P31" s="238"/>
      <c r="Q31" s="286"/>
      <c r="R31" s="346" t="s">
        <v>390</v>
      </c>
      <c r="S31" s="494" t="str">
        <f>IFERROR(IF(S26-S$23&gt;0,S26-S$23,"N/A"),"N/A")</f>
        <v>N/A</v>
      </c>
      <c r="T31" s="500"/>
      <c r="U31" s="496"/>
      <c r="V31" s="496"/>
      <c r="W31" s="501" t="str">
        <f>IF(AND(S31&lt;&gt;"N/A",S31&gt;=$W$33),R31,"Bednets")</f>
        <v>Bednets</v>
      </c>
      <c r="Y31" s="246"/>
      <c r="Z31" s="246"/>
      <c r="AA31" s="246"/>
      <c r="AB31" s="246"/>
      <c r="AC31" s="246"/>
      <c r="AD31" s="246"/>
      <c r="AE31" s="246"/>
      <c r="AF31" s="246"/>
      <c r="AG31" s="246"/>
      <c r="AH31" s="246"/>
      <c r="AI31" s="246"/>
      <c r="AJ31" s="246"/>
      <c r="AK31" s="246"/>
      <c r="AL31" s="246"/>
      <c r="AM31" s="246"/>
      <c r="AN31" s="246"/>
      <c r="AO31" s="246"/>
      <c r="AP31" s="246"/>
      <c r="AQ31" s="246"/>
      <c r="AS31" s="232"/>
      <c r="AT31" s="278"/>
      <c r="AU31" s="278"/>
      <c r="AV31" s="278"/>
      <c r="AW31" s="278"/>
      <c r="AX31" s="232"/>
      <c r="AY31" s="279"/>
      <c r="AZ31" s="232"/>
      <c r="BA31" s="232"/>
    </row>
    <row r="32" spans="1:54" ht="13.5" customHeight="1" x14ac:dyDescent="0.2">
      <c r="A32" s="246"/>
      <c r="B32" s="246"/>
      <c r="C32" s="246"/>
      <c r="D32" s="246"/>
      <c r="E32" s="238"/>
      <c r="F32" s="618"/>
      <c r="G32" s="261" t="s">
        <v>560</v>
      </c>
      <c r="H32" s="262"/>
      <c r="I32" s="431">
        <f>V10</f>
        <v>955.35122129146225</v>
      </c>
      <c r="J32" s="263"/>
      <c r="K32" s="264"/>
      <c r="L32" s="263"/>
      <c r="M32" s="263"/>
      <c r="N32" s="263"/>
      <c r="O32" s="263"/>
      <c r="P32" s="238"/>
      <c r="Q32" s="286"/>
      <c r="R32" s="352"/>
      <c r="S32" s="353"/>
      <c r="T32" s="353"/>
      <c r="U32" s="353"/>
      <c r="V32" s="353"/>
      <c r="W32" s="354"/>
      <c r="Y32" s="246"/>
      <c r="Z32" s="246"/>
      <c r="AA32" s="246"/>
      <c r="AB32" s="246"/>
      <c r="AC32" s="246"/>
      <c r="AD32" s="246"/>
      <c r="AE32" s="246"/>
      <c r="AF32" s="246"/>
      <c r="AG32" s="246"/>
      <c r="AH32" s="246"/>
      <c r="AI32" s="246"/>
      <c r="AJ32" s="246"/>
      <c r="AK32" s="246"/>
      <c r="AL32" s="246"/>
      <c r="AM32" s="246"/>
      <c r="AN32" s="246"/>
      <c r="AO32" s="246"/>
      <c r="AP32" s="246"/>
      <c r="AQ32" s="246"/>
      <c r="AS32" s="232"/>
      <c r="AT32" s="278"/>
      <c r="AU32" s="278"/>
      <c r="AV32" s="278"/>
      <c r="AW32" s="278"/>
      <c r="AX32" s="232"/>
      <c r="AY32" s="279"/>
      <c r="AZ32" s="232"/>
      <c r="BA32" s="232"/>
    </row>
    <row r="33" spans="1:53" ht="13.75" customHeight="1" thickBot="1" x14ac:dyDescent="0.25">
      <c r="A33" s="246"/>
      <c r="B33" s="246"/>
      <c r="C33" s="246"/>
      <c r="D33" s="246"/>
      <c r="E33" s="246"/>
      <c r="F33" s="618"/>
      <c r="G33" s="261" t="s">
        <v>566</v>
      </c>
      <c r="H33" s="262"/>
      <c r="I33" s="431">
        <f>V11</f>
        <v>1306.0216992107946</v>
      </c>
      <c r="J33" s="238"/>
      <c r="K33" s="244"/>
      <c r="L33" s="238"/>
      <c r="M33" s="238"/>
      <c r="N33" s="238"/>
      <c r="O33" s="238"/>
      <c r="P33" s="246"/>
      <c r="Q33" s="286"/>
      <c r="R33" s="642" t="s">
        <v>248</v>
      </c>
      <c r="S33" s="643"/>
      <c r="T33" s="643"/>
      <c r="U33" s="643"/>
      <c r="V33" s="643"/>
      <c r="W33" s="502">
        <f>$G$10*U37</f>
        <v>109.57500000000002</v>
      </c>
      <c r="X33" s="286"/>
      <c r="Y33" s="286"/>
      <c r="Z33" s="246"/>
      <c r="AA33" s="246"/>
      <c r="AB33" s="246"/>
      <c r="AC33" s="246"/>
      <c r="AD33" s="246"/>
      <c r="AE33" s="246"/>
      <c r="AF33" s="246"/>
      <c r="AG33" s="246"/>
      <c r="AH33" s="246"/>
      <c r="AI33" s="246"/>
      <c r="AJ33" s="246"/>
      <c r="AK33" s="246"/>
      <c r="AL33" s="246"/>
      <c r="AM33" s="246"/>
      <c r="AN33" s="246"/>
      <c r="AO33" s="246"/>
      <c r="AP33" s="246"/>
      <c r="AQ33" s="246"/>
      <c r="AS33" s="232" t="str">
        <f>IF(AS30&lt;$D$14,AS30+1,"")</f>
        <v/>
      </c>
      <c r="AT33" s="278">
        <f>IF(ISNUMBER(AS33),AW30,0)</f>
        <v>0</v>
      </c>
      <c r="AU33" s="278"/>
      <c r="AV33" s="278">
        <f t="shared" si="2"/>
        <v>0</v>
      </c>
      <c r="AW33" s="278">
        <f t="shared" si="6"/>
        <v>0</v>
      </c>
      <c r="AX33" s="232">
        <f>IF(ISNUMBER(AS35),SUM(AU33:AV33),SUM(AU33:AW33))</f>
        <v>0</v>
      </c>
      <c r="AY33" s="279">
        <f>LN(AX33+$J$37)-LN($J$37)</f>
        <v>0</v>
      </c>
      <c r="AZ33" s="232">
        <f t="shared" si="4"/>
        <v>0</v>
      </c>
    </row>
    <row r="34" spans="1:53" ht="13.75" customHeight="1" thickBot="1" x14ac:dyDescent="0.25">
      <c r="A34" s="246"/>
      <c r="B34" s="246"/>
      <c r="C34" s="246"/>
      <c r="D34" s="246"/>
      <c r="E34" s="246"/>
      <c r="F34" s="641"/>
      <c r="G34" s="289" t="s">
        <v>390</v>
      </c>
      <c r="H34" s="290"/>
      <c r="I34" s="432" t="str">
        <f>V12</f>
        <v>-</v>
      </c>
      <c r="J34" s="239"/>
      <c r="K34" s="325"/>
      <c r="L34" s="238"/>
      <c r="M34" s="238"/>
      <c r="N34" s="238"/>
      <c r="O34" s="238"/>
      <c r="P34" s="246"/>
      <c r="Q34" s="286"/>
      <c r="R34" s="378"/>
      <c r="S34" s="378"/>
      <c r="T34" s="378"/>
      <c r="U34" s="378"/>
      <c r="V34" s="378"/>
      <c r="W34" s="287"/>
      <c r="X34" s="287"/>
      <c r="Y34" s="286"/>
      <c r="Z34" s="246"/>
      <c r="AA34" s="246"/>
      <c r="AB34" s="246"/>
      <c r="AC34" s="246"/>
      <c r="AD34" s="246"/>
      <c r="AE34" s="246"/>
      <c r="AF34" s="246"/>
      <c r="AG34" s="246"/>
      <c r="AH34" s="246"/>
      <c r="AI34" s="246"/>
      <c r="AJ34" s="246"/>
      <c r="AK34" s="246"/>
      <c r="AL34" s="246"/>
      <c r="AM34" s="246"/>
      <c r="AN34" s="246"/>
      <c r="AO34" s="246"/>
      <c r="AP34" s="246"/>
      <c r="AQ34" s="246"/>
      <c r="AS34" s="232"/>
      <c r="AT34" s="278"/>
      <c r="AU34" s="278"/>
      <c r="AV34" s="278"/>
      <c r="AW34" s="278"/>
      <c r="AX34" s="232"/>
      <c r="AY34" s="279"/>
      <c r="AZ34" s="232"/>
    </row>
    <row r="35" spans="1:53" ht="51" customHeight="1" thickBot="1" x14ac:dyDescent="0.25">
      <c r="B35" s="246"/>
      <c r="C35" s="246"/>
      <c r="D35" s="246"/>
      <c r="E35" s="246"/>
      <c r="F35" s="246"/>
      <c r="G35" s="246"/>
      <c r="H35" s="246"/>
      <c r="I35" s="309"/>
      <c r="J35" s="309"/>
      <c r="K35" s="246"/>
      <c r="L35" s="246"/>
      <c r="M35" s="246"/>
      <c r="N35" s="246"/>
      <c r="O35" s="246"/>
      <c r="P35" s="246"/>
      <c r="Q35" s="286"/>
      <c r="R35" s="286"/>
      <c r="S35" s="286"/>
      <c r="T35" s="286"/>
      <c r="U35" s="286"/>
      <c r="W35" s="246"/>
      <c r="Y35" s="286"/>
      <c r="Z35" s="246"/>
      <c r="AA35" s="246"/>
      <c r="AB35" s="246"/>
      <c r="AC35" s="246"/>
      <c r="AD35" s="246"/>
      <c r="AE35" s="246"/>
      <c r="AF35" s="246"/>
      <c r="AG35" s="246"/>
      <c r="AH35" s="246"/>
      <c r="AI35" s="246"/>
      <c r="AJ35" s="246"/>
      <c r="AK35" s="246"/>
      <c r="AL35" s="246"/>
      <c r="AM35" s="246"/>
      <c r="AN35" s="246"/>
      <c r="AR35" s="232"/>
      <c r="AS35" s="232" t="str">
        <f>IF(AS33&lt;$D$14,AS33+1,"")</f>
        <v/>
      </c>
      <c r="AT35" s="278">
        <f>IF(ISNUMBER(AS35),AW33,0)</f>
        <v>0</v>
      </c>
      <c r="AU35" s="278"/>
      <c r="AV35" s="278">
        <f t="shared" si="2"/>
        <v>0</v>
      </c>
      <c r="AW35" s="278">
        <f t="shared" si="6"/>
        <v>0</v>
      </c>
      <c r="AX35" s="232">
        <f t="shared" si="7"/>
        <v>0</v>
      </c>
      <c r="AY35" s="279">
        <f>LN(AX35+$J$37)-LN($J$37)</f>
        <v>0</v>
      </c>
      <c r="AZ35" s="232">
        <f t="shared" si="4"/>
        <v>0</v>
      </c>
    </row>
    <row r="36" spans="1:53" ht="31.5" customHeight="1" x14ac:dyDescent="0.2">
      <c r="A36" s="246"/>
      <c r="B36" s="644" t="s">
        <v>557</v>
      </c>
      <c r="C36" s="248"/>
      <c r="D36" s="647" t="s">
        <v>552</v>
      </c>
      <c r="E36" s="648"/>
      <c r="F36" s="649"/>
      <c r="G36" s="250" t="s">
        <v>544</v>
      </c>
      <c r="H36" s="647" t="s">
        <v>555</v>
      </c>
      <c r="I36" s="649"/>
      <c r="J36" s="647" t="s">
        <v>554</v>
      </c>
      <c r="K36" s="648"/>
      <c r="L36" s="648"/>
      <c r="M36" s="648"/>
      <c r="N36" s="649"/>
      <c r="O36" s="647" t="s">
        <v>545</v>
      </c>
      <c r="P36" s="649"/>
      <c r="Q36" s="470" t="s">
        <v>546</v>
      </c>
      <c r="R36" s="281" t="s">
        <v>441</v>
      </c>
      <c r="S36" s="466" t="s">
        <v>553</v>
      </c>
      <c r="T36" s="467"/>
      <c r="U36" s="281" t="s">
        <v>435</v>
      </c>
      <c r="V36" s="281" t="s">
        <v>401</v>
      </c>
      <c r="W36" s="283" t="s">
        <v>404</v>
      </c>
      <c r="X36" s="212"/>
      <c r="Y36" s="246"/>
      <c r="Z36" s="246"/>
      <c r="AA36" s="246"/>
      <c r="AB36" s="246"/>
      <c r="AC36" s="246"/>
      <c r="AD36" s="246"/>
      <c r="AE36" s="246"/>
      <c r="AF36" s="246"/>
      <c r="AG36" s="246"/>
      <c r="AH36" s="246"/>
      <c r="AI36" s="246"/>
      <c r="AJ36" s="246"/>
      <c r="AK36" s="246"/>
      <c r="AL36" s="246"/>
      <c r="AM36" s="246"/>
      <c r="AN36" s="246"/>
      <c r="AR36" s="232"/>
      <c r="AS36" s="232" t="str">
        <f t="shared" si="1"/>
        <v/>
      </c>
      <c r="AT36" s="278">
        <f t="shared" si="5"/>
        <v>0</v>
      </c>
      <c r="AU36" s="278"/>
      <c r="AV36" s="278">
        <f t="shared" si="2"/>
        <v>0</v>
      </c>
      <c r="AW36" s="278">
        <f t="shared" si="6"/>
        <v>0</v>
      </c>
      <c r="AX36" s="232">
        <f t="shared" si="7"/>
        <v>0</v>
      </c>
      <c r="AY36" s="279">
        <f>LN(AX36+$J$37)-LN($J$37)</f>
        <v>0</v>
      </c>
      <c r="AZ36" s="232">
        <f t="shared" si="4"/>
        <v>0</v>
      </c>
      <c r="BA36" s="232"/>
    </row>
    <row r="37" spans="1:53" ht="12" customHeight="1" x14ac:dyDescent="0.2">
      <c r="A37" s="246"/>
      <c r="B37" s="645"/>
      <c r="C37" s="251" t="s">
        <v>548</v>
      </c>
      <c r="D37" s="650">
        <f>Parameters!$D$29</f>
        <v>0.26900000000000002</v>
      </c>
      <c r="E37" s="651"/>
      <c r="F37" s="652"/>
      <c r="G37" s="255">
        <f>Parameters!$D$30</f>
        <v>2.41</v>
      </c>
      <c r="H37" s="653">
        <f>Parameters!$D$61</f>
        <v>4.7</v>
      </c>
      <c r="I37" s="654"/>
      <c r="J37" s="629">
        <f>Parameters!$D$58</f>
        <v>285.92228810603416</v>
      </c>
      <c r="K37" s="630"/>
      <c r="L37" s="630"/>
      <c r="M37" s="630"/>
      <c r="N37" s="631"/>
      <c r="O37" s="632">
        <f>Parameters!$D$59</f>
        <v>1000</v>
      </c>
      <c r="P37" s="633"/>
      <c r="Q37" s="280">
        <f>Parameters!$D$60</f>
        <v>212.7659574468085</v>
      </c>
      <c r="R37" s="282">
        <f>Parameters!$D$49</f>
        <v>2838.2630576673801</v>
      </c>
      <c r="S37" s="282">
        <f>Parameters!$D$50</f>
        <v>3.6112369528824271</v>
      </c>
      <c r="T37" s="464"/>
      <c r="U37" s="340">
        <f>Parameters!$D$11</f>
        <v>36.525000000000006</v>
      </c>
      <c r="V37" s="328">
        <f>Parameters!$D$45</f>
        <v>15</v>
      </c>
      <c r="W37" s="320">
        <f>Parameters!$D$46</f>
        <v>0.43099999999999999</v>
      </c>
      <c r="X37" s="316"/>
      <c r="Y37" s="246"/>
      <c r="Z37" s="238"/>
      <c r="AA37" s="246"/>
      <c r="AB37" s="246"/>
      <c r="AC37" s="246"/>
      <c r="AD37" s="246"/>
      <c r="AE37" s="246"/>
      <c r="AF37" s="246"/>
      <c r="AG37" s="246"/>
      <c r="AH37" s="246"/>
      <c r="AI37" s="246"/>
      <c r="AJ37" s="246"/>
      <c r="AK37" s="246"/>
      <c r="AL37" s="246"/>
      <c r="AM37" s="246"/>
      <c r="AN37" s="246"/>
      <c r="AO37" s="246"/>
      <c r="AS37" s="232" t="str">
        <f t="shared" si="1"/>
        <v/>
      </c>
      <c r="AT37" s="278">
        <f t="shared" si="5"/>
        <v>0</v>
      </c>
      <c r="AU37" s="278"/>
      <c r="AV37" s="278">
        <f t="shared" si="2"/>
        <v>0</v>
      </c>
      <c r="AW37" s="278">
        <f t="shared" si="6"/>
        <v>0</v>
      </c>
      <c r="AX37" s="232">
        <f t="shared" si="7"/>
        <v>0</v>
      </c>
      <c r="AY37" s="279">
        <f>LN(AX37+$J$37)-LN($J$37)</f>
        <v>0</v>
      </c>
      <c r="AZ37" s="232">
        <f t="shared" si="4"/>
        <v>0</v>
      </c>
      <c r="BA37" s="232"/>
    </row>
    <row r="38" spans="1:53" ht="12" customHeight="1" thickBot="1" x14ac:dyDescent="0.25">
      <c r="A38" s="246"/>
      <c r="B38" s="646"/>
      <c r="C38" s="252" t="s">
        <v>549</v>
      </c>
      <c r="D38" s="634" t="s">
        <v>218</v>
      </c>
      <c r="E38" s="635"/>
      <c r="F38" s="635"/>
      <c r="G38" s="636"/>
      <c r="H38" s="392" t="s">
        <v>551</v>
      </c>
      <c r="I38" s="393"/>
      <c r="J38" s="393"/>
      <c r="K38" s="393"/>
      <c r="L38" s="393"/>
      <c r="M38" s="393"/>
      <c r="N38" s="393"/>
      <c r="O38" s="393"/>
      <c r="P38" s="393"/>
      <c r="Q38" s="394"/>
      <c r="R38" s="634" t="s">
        <v>131</v>
      </c>
      <c r="S38" s="635"/>
      <c r="T38" s="636"/>
      <c r="U38" s="329" t="s">
        <v>253</v>
      </c>
      <c r="V38" s="330" t="s">
        <v>402</v>
      </c>
      <c r="W38" s="331" t="s">
        <v>349</v>
      </c>
      <c r="X38" s="429"/>
      <c r="Y38" s="246"/>
      <c r="Z38" s="238"/>
      <c r="AA38" s="246"/>
      <c r="AB38" s="246"/>
      <c r="AC38" s="246"/>
      <c r="AD38" s="246"/>
      <c r="AE38" s="246"/>
      <c r="AF38" s="246"/>
      <c r="AG38" s="246"/>
      <c r="AH38" s="246"/>
      <c r="AI38" s="246"/>
      <c r="AJ38" s="246"/>
      <c r="AK38" s="246"/>
      <c r="AL38" s="246"/>
      <c r="AM38" s="246"/>
      <c r="AN38" s="246"/>
      <c r="AO38" s="246"/>
      <c r="AP38" s="246"/>
      <c r="AQ38" s="246"/>
      <c r="AS38" s="232" t="str">
        <f t="shared" si="1"/>
        <v/>
      </c>
      <c r="AT38" s="278">
        <f t="shared" si="5"/>
        <v>0</v>
      </c>
      <c r="AU38" s="278"/>
      <c r="AV38" s="278">
        <f t="shared" si="2"/>
        <v>0</v>
      </c>
      <c r="AW38" s="278">
        <f t="shared" si="6"/>
        <v>0</v>
      </c>
      <c r="AX38" s="232">
        <f t="shared" si="7"/>
        <v>0</v>
      </c>
      <c r="AY38" s="279">
        <f>LN(AX38+$J$37)-LN($J$37)</f>
        <v>0</v>
      </c>
      <c r="AZ38" s="232">
        <f t="shared" si="4"/>
        <v>0</v>
      </c>
      <c r="BA38" s="232"/>
    </row>
    <row r="39" spans="1:53" s="246" customFormat="1" ht="15" x14ac:dyDescent="0.2">
      <c r="J39" s="309"/>
      <c r="K39" s="309"/>
      <c r="L39" s="309"/>
      <c r="M39" s="309"/>
      <c r="Z39" s="238"/>
      <c r="AS39" s="288" t="str">
        <f t="shared" si="1"/>
        <v/>
      </c>
      <c r="AT39" s="326">
        <f t="shared" si="5"/>
        <v>0</v>
      </c>
      <c r="AU39" s="326"/>
      <c r="AV39" s="326">
        <f t="shared" si="2"/>
        <v>0</v>
      </c>
      <c r="AW39" s="326">
        <f t="shared" si="6"/>
        <v>0</v>
      </c>
      <c r="AX39" s="288">
        <f t="shared" si="7"/>
        <v>0</v>
      </c>
      <c r="AY39" s="327">
        <f t="shared" ref="AY39:AY102" si="8">LN(AX39+$J$37)-LN($J$37)</f>
        <v>0</v>
      </c>
      <c r="AZ39" s="288">
        <f t="shared" si="4"/>
        <v>0</v>
      </c>
      <c r="BA39" s="288"/>
    </row>
    <row r="40" spans="1:53" s="246" customFormat="1" ht="15" x14ac:dyDescent="0.2">
      <c r="R40" s="309"/>
      <c r="AS40" s="288" t="str">
        <f t="shared" si="1"/>
        <v/>
      </c>
      <c r="AT40" s="326">
        <f t="shared" si="5"/>
        <v>0</v>
      </c>
      <c r="AU40" s="326"/>
      <c r="AV40" s="326">
        <f t="shared" si="2"/>
        <v>0</v>
      </c>
      <c r="AW40" s="326">
        <f t="shared" si="6"/>
        <v>0</v>
      </c>
      <c r="AX40" s="288">
        <f t="shared" si="7"/>
        <v>0</v>
      </c>
      <c r="AY40" s="327">
        <f t="shared" si="8"/>
        <v>0</v>
      </c>
      <c r="AZ40" s="288">
        <f t="shared" si="4"/>
        <v>0</v>
      </c>
      <c r="BA40" s="288"/>
    </row>
    <row r="41" spans="1:53" s="246" customFormat="1" ht="15" x14ac:dyDescent="0.2">
      <c r="R41" s="309"/>
      <c r="AS41" s="288" t="str">
        <f t="shared" si="1"/>
        <v/>
      </c>
      <c r="AT41" s="326">
        <f t="shared" si="5"/>
        <v>0</v>
      </c>
      <c r="AU41" s="326"/>
      <c r="AV41" s="326">
        <f t="shared" si="2"/>
        <v>0</v>
      </c>
      <c r="AW41" s="326">
        <f t="shared" si="6"/>
        <v>0</v>
      </c>
      <c r="AX41" s="288">
        <f t="shared" si="7"/>
        <v>0</v>
      </c>
      <c r="AY41" s="327">
        <f t="shared" si="8"/>
        <v>0</v>
      </c>
      <c r="AZ41" s="288">
        <f t="shared" si="4"/>
        <v>0</v>
      </c>
      <c r="BA41" s="288"/>
    </row>
    <row r="42" spans="1:53" s="246" customFormat="1" ht="15" x14ac:dyDescent="0.2">
      <c r="R42" s="309"/>
      <c r="S42" s="410"/>
      <c r="AS42" s="288" t="str">
        <f t="shared" si="1"/>
        <v/>
      </c>
      <c r="AT42" s="326">
        <f t="shared" si="5"/>
        <v>0</v>
      </c>
      <c r="AU42" s="326"/>
      <c r="AV42" s="326">
        <f t="shared" si="2"/>
        <v>0</v>
      </c>
      <c r="AW42" s="326">
        <f t="shared" si="6"/>
        <v>0</v>
      </c>
      <c r="AX42" s="288">
        <f t="shared" si="7"/>
        <v>0</v>
      </c>
      <c r="AY42" s="327">
        <f t="shared" si="8"/>
        <v>0</v>
      </c>
      <c r="AZ42" s="288">
        <f t="shared" si="4"/>
        <v>0</v>
      </c>
      <c r="BA42" s="288"/>
    </row>
    <row r="43" spans="1:53" s="246" customFormat="1" ht="15" x14ac:dyDescent="0.2">
      <c r="R43" s="412"/>
      <c r="S43" s="387"/>
      <c r="AS43" s="288" t="str">
        <f t="shared" si="1"/>
        <v/>
      </c>
      <c r="AT43" s="326">
        <f t="shared" si="5"/>
        <v>0</v>
      </c>
      <c r="AU43" s="326"/>
      <c r="AV43" s="326">
        <f t="shared" si="2"/>
        <v>0</v>
      </c>
      <c r="AW43" s="326">
        <f t="shared" si="6"/>
        <v>0</v>
      </c>
      <c r="AX43" s="288">
        <f t="shared" si="7"/>
        <v>0</v>
      </c>
      <c r="AY43" s="327">
        <f t="shared" si="8"/>
        <v>0</v>
      </c>
      <c r="AZ43" s="288">
        <f t="shared" si="4"/>
        <v>0</v>
      </c>
      <c r="BA43" s="288"/>
    </row>
    <row r="44" spans="1:53" s="246" customFormat="1" ht="15" x14ac:dyDescent="0.2">
      <c r="S44" s="387"/>
      <c r="AS44" s="288" t="str">
        <f t="shared" si="1"/>
        <v/>
      </c>
      <c r="AT44" s="326">
        <f t="shared" si="5"/>
        <v>0</v>
      </c>
      <c r="AU44" s="326"/>
      <c r="AV44" s="326">
        <f t="shared" si="2"/>
        <v>0</v>
      </c>
      <c r="AW44" s="326">
        <f t="shared" si="6"/>
        <v>0</v>
      </c>
      <c r="AX44" s="288">
        <f t="shared" si="7"/>
        <v>0</v>
      </c>
      <c r="AY44" s="327">
        <f t="shared" si="8"/>
        <v>0</v>
      </c>
      <c r="AZ44" s="288">
        <f t="shared" si="4"/>
        <v>0</v>
      </c>
      <c r="BA44" s="288"/>
    </row>
    <row r="45" spans="1:53" s="246" customFormat="1" ht="15" x14ac:dyDescent="0.2">
      <c r="S45" s="387"/>
      <c r="AS45" s="288" t="str">
        <f t="shared" si="1"/>
        <v/>
      </c>
      <c r="AT45" s="326">
        <f t="shared" si="5"/>
        <v>0</v>
      </c>
      <c r="AU45" s="326"/>
      <c r="AV45" s="326">
        <f t="shared" si="2"/>
        <v>0</v>
      </c>
      <c r="AW45" s="326">
        <f t="shared" si="6"/>
        <v>0</v>
      </c>
      <c r="AX45" s="288">
        <f t="shared" si="7"/>
        <v>0</v>
      </c>
      <c r="AY45" s="327">
        <f t="shared" si="8"/>
        <v>0</v>
      </c>
      <c r="AZ45" s="288">
        <f t="shared" si="4"/>
        <v>0</v>
      </c>
      <c r="BA45" s="288"/>
    </row>
    <row r="46" spans="1:53" s="246" customFormat="1" ht="15" x14ac:dyDescent="0.2">
      <c r="S46" s="387"/>
      <c r="AS46" s="288" t="str">
        <f t="shared" si="1"/>
        <v/>
      </c>
      <c r="AT46" s="326">
        <f t="shared" si="5"/>
        <v>0</v>
      </c>
      <c r="AU46" s="326"/>
      <c r="AV46" s="326">
        <f t="shared" si="2"/>
        <v>0</v>
      </c>
      <c r="AW46" s="326">
        <f t="shared" si="6"/>
        <v>0</v>
      </c>
      <c r="AX46" s="288">
        <f t="shared" si="7"/>
        <v>0</v>
      </c>
      <c r="AY46" s="327">
        <f t="shared" si="8"/>
        <v>0</v>
      </c>
      <c r="AZ46" s="288">
        <f t="shared" si="4"/>
        <v>0</v>
      </c>
      <c r="BA46" s="288"/>
    </row>
    <row r="47" spans="1:53" s="246" customFormat="1" ht="15" x14ac:dyDescent="0.2">
      <c r="S47" s="387"/>
      <c r="AS47" s="288" t="str">
        <f t="shared" si="1"/>
        <v/>
      </c>
      <c r="AT47" s="326">
        <f t="shared" si="5"/>
        <v>0</v>
      </c>
      <c r="AU47" s="326"/>
      <c r="AV47" s="326">
        <f t="shared" si="2"/>
        <v>0</v>
      </c>
      <c r="AW47" s="326">
        <f t="shared" si="6"/>
        <v>0</v>
      </c>
      <c r="AX47" s="288">
        <f t="shared" si="7"/>
        <v>0</v>
      </c>
      <c r="AY47" s="327">
        <f t="shared" si="8"/>
        <v>0</v>
      </c>
      <c r="AZ47" s="288">
        <f t="shared" si="4"/>
        <v>0</v>
      </c>
      <c r="BA47" s="288"/>
    </row>
    <row r="48" spans="1:53" s="246" customFormat="1" ht="15" x14ac:dyDescent="0.2">
      <c r="AS48" s="288" t="str">
        <f t="shared" si="1"/>
        <v/>
      </c>
      <c r="AT48" s="326">
        <f t="shared" si="5"/>
        <v>0</v>
      </c>
      <c r="AU48" s="326"/>
      <c r="AV48" s="326">
        <f t="shared" si="2"/>
        <v>0</v>
      </c>
      <c r="AW48" s="326">
        <f t="shared" si="6"/>
        <v>0</v>
      </c>
      <c r="AX48" s="288">
        <f t="shared" si="7"/>
        <v>0</v>
      </c>
      <c r="AY48" s="327">
        <f t="shared" si="8"/>
        <v>0</v>
      </c>
      <c r="AZ48" s="288">
        <f t="shared" si="4"/>
        <v>0</v>
      </c>
      <c r="BA48" s="288"/>
    </row>
    <row r="49" spans="45:53" s="246" customFormat="1" ht="15" x14ac:dyDescent="0.2">
      <c r="AS49" s="288" t="str">
        <f t="shared" si="1"/>
        <v/>
      </c>
      <c r="AT49" s="326">
        <f t="shared" si="5"/>
        <v>0</v>
      </c>
      <c r="AU49" s="326"/>
      <c r="AV49" s="326">
        <f t="shared" si="2"/>
        <v>0</v>
      </c>
      <c r="AW49" s="326">
        <f t="shared" si="6"/>
        <v>0</v>
      </c>
      <c r="AX49" s="288">
        <f t="shared" si="7"/>
        <v>0</v>
      </c>
      <c r="AY49" s="327">
        <f t="shared" si="8"/>
        <v>0</v>
      </c>
      <c r="AZ49" s="288">
        <f t="shared" si="4"/>
        <v>0</v>
      </c>
      <c r="BA49" s="288"/>
    </row>
    <row r="50" spans="45:53" s="246" customFormat="1" ht="15" x14ac:dyDescent="0.2">
      <c r="AS50" s="288" t="str">
        <f t="shared" si="1"/>
        <v/>
      </c>
      <c r="AT50" s="326">
        <f t="shared" si="5"/>
        <v>0</v>
      </c>
      <c r="AU50" s="326"/>
      <c r="AV50" s="326">
        <f t="shared" si="2"/>
        <v>0</v>
      </c>
      <c r="AW50" s="326">
        <f t="shared" si="6"/>
        <v>0</v>
      </c>
      <c r="AX50" s="288">
        <f t="shared" si="7"/>
        <v>0</v>
      </c>
      <c r="AY50" s="327">
        <f t="shared" si="8"/>
        <v>0</v>
      </c>
      <c r="AZ50" s="288">
        <f t="shared" si="4"/>
        <v>0</v>
      </c>
      <c r="BA50" s="288"/>
    </row>
    <row r="51" spans="45:53" s="246" customFormat="1" ht="15" x14ac:dyDescent="0.2">
      <c r="AS51" s="288" t="str">
        <f t="shared" si="1"/>
        <v/>
      </c>
      <c r="AT51" s="326">
        <f t="shared" si="5"/>
        <v>0</v>
      </c>
      <c r="AU51" s="326"/>
      <c r="AV51" s="326">
        <f t="shared" si="2"/>
        <v>0</v>
      </c>
      <c r="AW51" s="326">
        <f t="shared" si="6"/>
        <v>0</v>
      </c>
      <c r="AX51" s="288">
        <f t="shared" si="7"/>
        <v>0</v>
      </c>
      <c r="AY51" s="327">
        <f t="shared" si="8"/>
        <v>0</v>
      </c>
      <c r="AZ51" s="288">
        <f t="shared" si="4"/>
        <v>0</v>
      </c>
      <c r="BA51" s="288"/>
    </row>
    <row r="52" spans="45:53" s="246" customFormat="1" ht="15" x14ac:dyDescent="0.2">
      <c r="AS52" s="288" t="str">
        <f t="shared" si="1"/>
        <v/>
      </c>
      <c r="AT52" s="326">
        <f t="shared" si="5"/>
        <v>0</v>
      </c>
      <c r="AU52" s="326"/>
      <c r="AV52" s="326">
        <f t="shared" si="2"/>
        <v>0</v>
      </c>
      <c r="AW52" s="326">
        <f t="shared" si="6"/>
        <v>0</v>
      </c>
      <c r="AX52" s="288">
        <f t="shared" si="7"/>
        <v>0</v>
      </c>
      <c r="AY52" s="327">
        <f t="shared" si="8"/>
        <v>0</v>
      </c>
      <c r="AZ52" s="288">
        <f t="shared" si="4"/>
        <v>0</v>
      </c>
      <c r="BA52" s="288"/>
    </row>
    <row r="53" spans="45:53" s="246" customFormat="1" ht="15" x14ac:dyDescent="0.2">
      <c r="AS53" s="288" t="str">
        <f t="shared" si="1"/>
        <v/>
      </c>
      <c r="AT53" s="326">
        <f t="shared" si="5"/>
        <v>0</v>
      </c>
      <c r="AU53" s="326"/>
      <c r="AV53" s="326">
        <f t="shared" si="2"/>
        <v>0</v>
      </c>
      <c r="AW53" s="326">
        <f t="shared" si="6"/>
        <v>0</v>
      </c>
      <c r="AX53" s="288">
        <f t="shared" si="7"/>
        <v>0</v>
      </c>
      <c r="AY53" s="327">
        <f t="shared" si="8"/>
        <v>0</v>
      </c>
      <c r="AZ53" s="288">
        <f t="shared" si="4"/>
        <v>0</v>
      </c>
      <c r="BA53" s="288"/>
    </row>
    <row r="54" spans="45:53" s="246" customFormat="1" ht="15" x14ac:dyDescent="0.2">
      <c r="AS54" s="288" t="str">
        <f t="shared" si="1"/>
        <v/>
      </c>
      <c r="AT54" s="326">
        <f t="shared" si="5"/>
        <v>0</v>
      </c>
      <c r="AU54" s="326"/>
      <c r="AV54" s="326">
        <f t="shared" si="2"/>
        <v>0</v>
      </c>
      <c r="AW54" s="326">
        <f t="shared" si="6"/>
        <v>0</v>
      </c>
      <c r="AX54" s="288">
        <f t="shared" si="7"/>
        <v>0</v>
      </c>
      <c r="AY54" s="327">
        <f t="shared" si="8"/>
        <v>0</v>
      </c>
      <c r="AZ54" s="288">
        <f t="shared" si="4"/>
        <v>0</v>
      </c>
      <c r="BA54" s="288"/>
    </row>
    <row r="55" spans="45:53" s="246" customFormat="1" ht="15" x14ac:dyDescent="0.2">
      <c r="AS55" s="288" t="str">
        <f t="shared" si="1"/>
        <v/>
      </c>
      <c r="AT55" s="326">
        <f t="shared" si="5"/>
        <v>0</v>
      </c>
      <c r="AU55" s="326"/>
      <c r="AV55" s="326">
        <f t="shared" si="2"/>
        <v>0</v>
      </c>
      <c r="AW55" s="326">
        <f t="shared" si="6"/>
        <v>0</v>
      </c>
      <c r="AX55" s="288">
        <f t="shared" si="7"/>
        <v>0</v>
      </c>
      <c r="AY55" s="327">
        <f t="shared" si="8"/>
        <v>0</v>
      </c>
      <c r="AZ55" s="288">
        <f t="shared" si="4"/>
        <v>0</v>
      </c>
      <c r="BA55" s="288"/>
    </row>
    <row r="56" spans="45:53" s="246" customFormat="1" ht="15" x14ac:dyDescent="0.2">
      <c r="AS56" s="288" t="str">
        <f t="shared" si="1"/>
        <v/>
      </c>
      <c r="AT56" s="326">
        <f t="shared" si="5"/>
        <v>0</v>
      </c>
      <c r="AU56" s="326"/>
      <c r="AV56" s="326">
        <f t="shared" si="2"/>
        <v>0</v>
      </c>
      <c r="AW56" s="326">
        <f t="shared" si="6"/>
        <v>0</v>
      </c>
      <c r="AX56" s="288">
        <f t="shared" si="7"/>
        <v>0</v>
      </c>
      <c r="AY56" s="327">
        <f t="shared" si="8"/>
        <v>0</v>
      </c>
      <c r="AZ56" s="288">
        <f t="shared" si="4"/>
        <v>0</v>
      </c>
      <c r="BA56" s="288"/>
    </row>
    <row r="57" spans="45:53" s="246" customFormat="1" ht="15" x14ac:dyDescent="0.2">
      <c r="AS57" s="288" t="str">
        <f t="shared" si="1"/>
        <v/>
      </c>
      <c r="AT57" s="326">
        <f t="shared" si="5"/>
        <v>0</v>
      </c>
      <c r="AU57" s="326"/>
      <c r="AV57" s="326">
        <f t="shared" si="2"/>
        <v>0</v>
      </c>
      <c r="AW57" s="326">
        <f t="shared" si="6"/>
        <v>0</v>
      </c>
      <c r="AX57" s="288">
        <f t="shared" si="7"/>
        <v>0</v>
      </c>
      <c r="AY57" s="327">
        <f t="shared" si="8"/>
        <v>0</v>
      </c>
      <c r="AZ57" s="288">
        <f t="shared" si="4"/>
        <v>0</v>
      </c>
      <c r="BA57" s="288"/>
    </row>
    <row r="58" spans="45:53" s="246" customFormat="1" ht="15" x14ac:dyDescent="0.2">
      <c r="AS58" s="288" t="str">
        <f t="shared" si="1"/>
        <v/>
      </c>
      <c r="AT58" s="326">
        <f t="shared" si="5"/>
        <v>0</v>
      </c>
      <c r="AU58" s="326"/>
      <c r="AV58" s="326">
        <f t="shared" si="2"/>
        <v>0</v>
      </c>
      <c r="AW58" s="326">
        <f t="shared" si="6"/>
        <v>0</v>
      </c>
      <c r="AX58" s="288">
        <f t="shared" si="7"/>
        <v>0</v>
      </c>
      <c r="AY58" s="327">
        <f t="shared" si="8"/>
        <v>0</v>
      </c>
      <c r="AZ58" s="288">
        <f t="shared" si="4"/>
        <v>0</v>
      </c>
      <c r="BA58" s="288"/>
    </row>
    <row r="59" spans="45:53" s="246" customFormat="1" ht="15" x14ac:dyDescent="0.2">
      <c r="AS59" s="288" t="str">
        <f t="shared" si="1"/>
        <v/>
      </c>
      <c r="AT59" s="326">
        <f t="shared" si="5"/>
        <v>0</v>
      </c>
      <c r="AU59" s="326"/>
      <c r="AV59" s="326">
        <f t="shared" si="2"/>
        <v>0</v>
      </c>
      <c r="AW59" s="326">
        <f t="shared" si="6"/>
        <v>0</v>
      </c>
      <c r="AX59" s="288">
        <f t="shared" si="7"/>
        <v>0</v>
      </c>
      <c r="AY59" s="327">
        <f t="shared" si="8"/>
        <v>0</v>
      </c>
      <c r="AZ59" s="288">
        <f t="shared" si="4"/>
        <v>0</v>
      </c>
      <c r="BA59" s="288"/>
    </row>
    <row r="60" spans="45:53" s="246" customFormat="1" ht="15" x14ac:dyDescent="0.2">
      <c r="AS60" s="288" t="str">
        <f t="shared" si="1"/>
        <v/>
      </c>
      <c r="AT60" s="326">
        <f t="shared" si="5"/>
        <v>0</v>
      </c>
      <c r="AU60" s="326"/>
      <c r="AV60" s="326">
        <f t="shared" si="2"/>
        <v>0</v>
      </c>
      <c r="AW60" s="326">
        <f t="shared" si="6"/>
        <v>0</v>
      </c>
      <c r="AX60" s="288">
        <f t="shared" si="7"/>
        <v>0</v>
      </c>
      <c r="AY60" s="327">
        <f t="shared" si="8"/>
        <v>0</v>
      </c>
      <c r="AZ60" s="288">
        <f t="shared" si="4"/>
        <v>0</v>
      </c>
      <c r="BA60" s="288"/>
    </row>
    <row r="61" spans="45:53" s="246" customFormat="1" ht="15" x14ac:dyDescent="0.2">
      <c r="AS61" s="288" t="str">
        <f t="shared" si="1"/>
        <v/>
      </c>
      <c r="AT61" s="326">
        <f t="shared" si="5"/>
        <v>0</v>
      </c>
      <c r="AU61" s="326"/>
      <c r="AV61" s="326">
        <f t="shared" si="2"/>
        <v>0</v>
      </c>
      <c r="AW61" s="326">
        <f t="shared" si="6"/>
        <v>0</v>
      </c>
      <c r="AX61" s="288">
        <f t="shared" si="7"/>
        <v>0</v>
      </c>
      <c r="AY61" s="327">
        <f t="shared" si="8"/>
        <v>0</v>
      </c>
      <c r="AZ61" s="288">
        <f t="shared" si="4"/>
        <v>0</v>
      </c>
      <c r="BA61" s="288"/>
    </row>
    <row r="62" spans="45:53" s="246" customFormat="1" ht="15" x14ac:dyDescent="0.2">
      <c r="AS62" s="288" t="str">
        <f t="shared" si="1"/>
        <v/>
      </c>
      <c r="AT62" s="326">
        <f t="shared" si="5"/>
        <v>0</v>
      </c>
      <c r="AU62" s="326"/>
      <c r="AV62" s="326">
        <f t="shared" si="2"/>
        <v>0</v>
      </c>
      <c r="AW62" s="326">
        <f t="shared" si="6"/>
        <v>0</v>
      </c>
      <c r="AX62" s="288">
        <f t="shared" si="7"/>
        <v>0</v>
      </c>
      <c r="AY62" s="327">
        <f t="shared" si="8"/>
        <v>0</v>
      </c>
      <c r="AZ62" s="288">
        <f t="shared" si="4"/>
        <v>0</v>
      </c>
      <c r="BA62" s="288"/>
    </row>
    <row r="63" spans="45:53" s="246" customFormat="1" ht="15" x14ac:dyDescent="0.2">
      <c r="AS63" s="288" t="str">
        <f t="shared" si="1"/>
        <v/>
      </c>
      <c r="AT63" s="326">
        <f t="shared" si="5"/>
        <v>0</v>
      </c>
      <c r="AU63" s="326"/>
      <c r="AV63" s="326">
        <f t="shared" si="2"/>
        <v>0</v>
      </c>
      <c r="AW63" s="326">
        <f t="shared" si="6"/>
        <v>0</v>
      </c>
      <c r="AX63" s="288">
        <f t="shared" si="7"/>
        <v>0</v>
      </c>
      <c r="AY63" s="327">
        <f t="shared" si="8"/>
        <v>0</v>
      </c>
      <c r="AZ63" s="288">
        <f t="shared" si="4"/>
        <v>0</v>
      </c>
      <c r="BA63" s="288"/>
    </row>
    <row r="64" spans="45:53" s="246" customFormat="1" ht="15" x14ac:dyDescent="0.2">
      <c r="AS64" s="288" t="str">
        <f t="shared" si="1"/>
        <v/>
      </c>
      <c r="AT64" s="326">
        <f t="shared" si="5"/>
        <v>0</v>
      </c>
      <c r="AU64" s="326"/>
      <c r="AV64" s="326">
        <f t="shared" si="2"/>
        <v>0</v>
      </c>
      <c r="AW64" s="326">
        <f t="shared" si="6"/>
        <v>0</v>
      </c>
      <c r="AX64" s="288">
        <f t="shared" si="7"/>
        <v>0</v>
      </c>
      <c r="AY64" s="327">
        <f t="shared" si="8"/>
        <v>0</v>
      </c>
      <c r="AZ64" s="288">
        <f t="shared" si="4"/>
        <v>0</v>
      </c>
      <c r="BA64" s="288"/>
    </row>
    <row r="65" spans="45:53" s="246" customFormat="1" ht="15" x14ac:dyDescent="0.2">
      <c r="AS65" s="288" t="str">
        <f t="shared" si="1"/>
        <v/>
      </c>
      <c r="AT65" s="326">
        <f t="shared" si="5"/>
        <v>0</v>
      </c>
      <c r="AU65" s="326"/>
      <c r="AV65" s="326">
        <f t="shared" si="2"/>
        <v>0</v>
      </c>
      <c r="AW65" s="326">
        <f t="shared" si="6"/>
        <v>0</v>
      </c>
      <c r="AX65" s="288">
        <f t="shared" si="7"/>
        <v>0</v>
      </c>
      <c r="AY65" s="327">
        <f t="shared" si="8"/>
        <v>0</v>
      </c>
      <c r="AZ65" s="288">
        <f t="shared" si="4"/>
        <v>0</v>
      </c>
      <c r="BA65" s="288"/>
    </row>
    <row r="66" spans="45:53" s="246" customFormat="1" ht="15" x14ac:dyDescent="0.2">
      <c r="AS66" s="288" t="str">
        <f t="shared" si="1"/>
        <v/>
      </c>
      <c r="AT66" s="326">
        <f t="shared" si="5"/>
        <v>0</v>
      </c>
      <c r="AU66" s="326"/>
      <c r="AV66" s="326">
        <f t="shared" si="2"/>
        <v>0</v>
      </c>
      <c r="AW66" s="326">
        <f t="shared" si="6"/>
        <v>0</v>
      </c>
      <c r="AX66" s="288">
        <f t="shared" si="7"/>
        <v>0</v>
      </c>
      <c r="AY66" s="327">
        <f t="shared" si="8"/>
        <v>0</v>
      </c>
      <c r="AZ66" s="288">
        <f t="shared" si="4"/>
        <v>0</v>
      </c>
      <c r="BA66" s="288"/>
    </row>
    <row r="67" spans="45:53" s="246" customFormat="1" ht="15" x14ac:dyDescent="0.2">
      <c r="AS67" s="288" t="str">
        <f t="shared" si="1"/>
        <v/>
      </c>
      <c r="AT67" s="326">
        <f t="shared" si="5"/>
        <v>0</v>
      </c>
      <c r="AU67" s="326"/>
      <c r="AV67" s="326">
        <f t="shared" si="2"/>
        <v>0</v>
      </c>
      <c r="AW67" s="326">
        <f t="shared" si="6"/>
        <v>0</v>
      </c>
      <c r="AX67" s="288">
        <f t="shared" si="7"/>
        <v>0</v>
      </c>
      <c r="AY67" s="327">
        <f t="shared" si="8"/>
        <v>0</v>
      </c>
      <c r="AZ67" s="288">
        <f t="shared" si="4"/>
        <v>0</v>
      </c>
      <c r="BA67" s="288"/>
    </row>
    <row r="68" spans="45:53" s="246" customFormat="1" ht="15" x14ac:dyDescent="0.2">
      <c r="AS68" s="288" t="str">
        <f t="shared" si="1"/>
        <v/>
      </c>
      <c r="AT68" s="326">
        <f t="shared" si="5"/>
        <v>0</v>
      </c>
      <c r="AU68" s="326"/>
      <c r="AV68" s="326">
        <f t="shared" si="2"/>
        <v>0</v>
      </c>
      <c r="AW68" s="326">
        <f t="shared" si="6"/>
        <v>0</v>
      </c>
      <c r="AX68" s="288">
        <f t="shared" si="7"/>
        <v>0</v>
      </c>
      <c r="AY68" s="327">
        <f t="shared" si="8"/>
        <v>0</v>
      </c>
      <c r="AZ68" s="288">
        <f t="shared" si="4"/>
        <v>0</v>
      </c>
      <c r="BA68" s="288"/>
    </row>
    <row r="69" spans="45:53" s="246" customFormat="1" ht="15" x14ac:dyDescent="0.2">
      <c r="AS69" s="288" t="str">
        <f t="shared" ref="AS69:AS114" si="9">IF(AS68&lt;$D$14,AS68+1,"")</f>
        <v/>
      </c>
      <c r="AT69" s="326">
        <f t="shared" si="5"/>
        <v>0</v>
      </c>
      <c r="AU69" s="326"/>
      <c r="AV69" s="326">
        <f t="shared" si="2"/>
        <v>0</v>
      </c>
      <c r="AW69" s="326">
        <f t="shared" si="6"/>
        <v>0</v>
      </c>
      <c r="AX69" s="288">
        <f t="shared" si="7"/>
        <v>0</v>
      </c>
      <c r="AY69" s="327">
        <f t="shared" si="8"/>
        <v>0</v>
      </c>
      <c r="AZ69" s="288">
        <f t="shared" si="4"/>
        <v>0</v>
      </c>
      <c r="BA69" s="288"/>
    </row>
    <row r="70" spans="45:53" s="246" customFormat="1" ht="15" x14ac:dyDescent="0.2">
      <c r="AS70" s="288" t="str">
        <f t="shared" si="9"/>
        <v/>
      </c>
      <c r="AT70" s="326">
        <f t="shared" si="5"/>
        <v>0</v>
      </c>
      <c r="AU70" s="326"/>
      <c r="AV70" s="326">
        <f t="shared" si="2"/>
        <v>0</v>
      </c>
      <c r="AW70" s="326">
        <f t="shared" si="6"/>
        <v>0</v>
      </c>
      <c r="AX70" s="288">
        <f t="shared" si="7"/>
        <v>0</v>
      </c>
      <c r="AY70" s="327">
        <f t="shared" si="8"/>
        <v>0</v>
      </c>
      <c r="AZ70" s="288">
        <f t="shared" si="4"/>
        <v>0</v>
      </c>
      <c r="BA70" s="288"/>
    </row>
    <row r="71" spans="45:53" s="246" customFormat="1" ht="15" x14ac:dyDescent="0.2">
      <c r="AS71" s="288" t="str">
        <f t="shared" si="9"/>
        <v/>
      </c>
      <c r="AT71" s="326">
        <f t="shared" si="5"/>
        <v>0</v>
      </c>
      <c r="AU71" s="326"/>
      <c r="AV71" s="326">
        <f t="shared" si="2"/>
        <v>0</v>
      </c>
      <c r="AW71" s="326">
        <f t="shared" si="6"/>
        <v>0</v>
      </c>
      <c r="AX71" s="288">
        <f t="shared" si="7"/>
        <v>0</v>
      </c>
      <c r="AY71" s="327">
        <f t="shared" si="8"/>
        <v>0</v>
      </c>
      <c r="AZ71" s="288">
        <f t="shared" si="4"/>
        <v>0</v>
      </c>
      <c r="BA71" s="288"/>
    </row>
    <row r="72" spans="45:53" s="246" customFormat="1" ht="15" x14ac:dyDescent="0.2">
      <c r="AS72" s="288" t="str">
        <f t="shared" si="9"/>
        <v/>
      </c>
      <c r="AT72" s="326">
        <f t="shared" si="5"/>
        <v>0</v>
      </c>
      <c r="AU72" s="326"/>
      <c r="AV72" s="326">
        <f t="shared" ref="AV72:AV114" si="10">$D$10*AT72</f>
        <v>0</v>
      </c>
      <c r="AW72" s="326">
        <f t="shared" si="6"/>
        <v>0</v>
      </c>
      <c r="AX72" s="288">
        <f t="shared" si="7"/>
        <v>0</v>
      </c>
      <c r="AY72" s="327">
        <f t="shared" si="8"/>
        <v>0</v>
      </c>
      <c r="AZ72" s="288">
        <f t="shared" ref="AZ72:AZ114" si="11">IF(ISNUMBER(AS72),AY72/(1+$D$7)^AS72,0)</f>
        <v>0</v>
      </c>
      <c r="BA72" s="288"/>
    </row>
    <row r="73" spans="45:53" s="246" customFormat="1" ht="15" x14ac:dyDescent="0.2">
      <c r="AS73" s="288" t="str">
        <f t="shared" si="9"/>
        <v/>
      </c>
      <c r="AT73" s="326">
        <f t="shared" ref="AT73:AT114" si="12">IF(ISNUMBER(AS73),AW72,0)</f>
        <v>0</v>
      </c>
      <c r="AU73" s="326"/>
      <c r="AV73" s="326">
        <f t="shared" si="10"/>
        <v>0</v>
      </c>
      <c r="AW73" s="326">
        <f t="shared" ref="AW73:AW114" si="13">AT73</f>
        <v>0</v>
      </c>
      <c r="AX73" s="288">
        <f t="shared" si="7"/>
        <v>0</v>
      </c>
      <c r="AY73" s="327">
        <f t="shared" si="8"/>
        <v>0</v>
      </c>
      <c r="AZ73" s="288">
        <f t="shared" si="11"/>
        <v>0</v>
      </c>
      <c r="BA73" s="288"/>
    </row>
    <row r="74" spans="45:53" s="246" customFormat="1" ht="15" x14ac:dyDescent="0.2">
      <c r="AS74" s="288" t="str">
        <f t="shared" si="9"/>
        <v/>
      </c>
      <c r="AT74" s="326">
        <f t="shared" si="12"/>
        <v>0</v>
      </c>
      <c r="AU74" s="326"/>
      <c r="AV74" s="326">
        <f t="shared" si="10"/>
        <v>0</v>
      </c>
      <c r="AW74" s="326">
        <f t="shared" si="13"/>
        <v>0</v>
      </c>
      <c r="AX74" s="288">
        <f t="shared" si="7"/>
        <v>0</v>
      </c>
      <c r="AY74" s="327">
        <f t="shared" si="8"/>
        <v>0</v>
      </c>
      <c r="AZ74" s="288">
        <f t="shared" si="11"/>
        <v>0</v>
      </c>
      <c r="BA74" s="288"/>
    </row>
    <row r="75" spans="45:53" s="246" customFormat="1" ht="15" x14ac:dyDescent="0.2">
      <c r="AS75" s="288" t="str">
        <f t="shared" si="9"/>
        <v/>
      </c>
      <c r="AT75" s="326">
        <f t="shared" si="12"/>
        <v>0</v>
      </c>
      <c r="AU75" s="326"/>
      <c r="AV75" s="326">
        <f t="shared" si="10"/>
        <v>0</v>
      </c>
      <c r="AW75" s="326">
        <f t="shared" si="13"/>
        <v>0</v>
      </c>
      <c r="AX75" s="288">
        <f t="shared" si="7"/>
        <v>0</v>
      </c>
      <c r="AY75" s="327">
        <f t="shared" si="8"/>
        <v>0</v>
      </c>
      <c r="AZ75" s="288">
        <f t="shared" si="11"/>
        <v>0</v>
      </c>
      <c r="BA75" s="288"/>
    </row>
    <row r="76" spans="45:53" s="246" customFormat="1" ht="15" x14ac:dyDescent="0.2">
      <c r="AS76" s="288" t="str">
        <f t="shared" si="9"/>
        <v/>
      </c>
      <c r="AT76" s="326">
        <f t="shared" si="12"/>
        <v>0</v>
      </c>
      <c r="AU76" s="326"/>
      <c r="AV76" s="326">
        <f t="shared" si="10"/>
        <v>0</v>
      </c>
      <c r="AW76" s="326">
        <f t="shared" si="13"/>
        <v>0</v>
      </c>
      <c r="AX76" s="288">
        <f t="shared" si="7"/>
        <v>0</v>
      </c>
      <c r="AY76" s="327">
        <f t="shared" si="8"/>
        <v>0</v>
      </c>
      <c r="AZ76" s="288">
        <f t="shared" si="11"/>
        <v>0</v>
      </c>
      <c r="BA76" s="288"/>
    </row>
    <row r="77" spans="45:53" s="246" customFormat="1" ht="15" x14ac:dyDescent="0.2">
      <c r="AS77" s="288" t="str">
        <f t="shared" si="9"/>
        <v/>
      </c>
      <c r="AT77" s="326">
        <f t="shared" si="12"/>
        <v>0</v>
      </c>
      <c r="AU77" s="326"/>
      <c r="AV77" s="326">
        <f t="shared" si="10"/>
        <v>0</v>
      </c>
      <c r="AW77" s="326">
        <f t="shared" si="13"/>
        <v>0</v>
      </c>
      <c r="AX77" s="288">
        <f t="shared" si="7"/>
        <v>0</v>
      </c>
      <c r="AY77" s="327">
        <f t="shared" si="8"/>
        <v>0</v>
      </c>
      <c r="AZ77" s="288">
        <f t="shared" si="11"/>
        <v>0</v>
      </c>
      <c r="BA77" s="288"/>
    </row>
    <row r="78" spans="45:53" s="246" customFormat="1" ht="15" x14ac:dyDescent="0.2">
      <c r="AS78" s="288" t="str">
        <f t="shared" si="9"/>
        <v/>
      </c>
      <c r="AT78" s="326">
        <f t="shared" si="12"/>
        <v>0</v>
      </c>
      <c r="AU78" s="326"/>
      <c r="AV78" s="326">
        <f t="shared" si="10"/>
        <v>0</v>
      </c>
      <c r="AW78" s="326">
        <f t="shared" si="13"/>
        <v>0</v>
      </c>
      <c r="AX78" s="288">
        <f t="shared" si="7"/>
        <v>0</v>
      </c>
      <c r="AY78" s="327">
        <f t="shared" si="8"/>
        <v>0</v>
      </c>
      <c r="AZ78" s="288">
        <f t="shared" si="11"/>
        <v>0</v>
      </c>
      <c r="BA78" s="288"/>
    </row>
    <row r="79" spans="45:53" s="246" customFormat="1" ht="15" x14ac:dyDescent="0.2">
      <c r="AS79" s="288" t="str">
        <f t="shared" si="9"/>
        <v/>
      </c>
      <c r="AT79" s="326">
        <f t="shared" si="12"/>
        <v>0</v>
      </c>
      <c r="AU79" s="326"/>
      <c r="AV79" s="326">
        <f t="shared" si="10"/>
        <v>0</v>
      </c>
      <c r="AW79" s="326">
        <f t="shared" si="13"/>
        <v>0</v>
      </c>
      <c r="AX79" s="288">
        <f t="shared" si="7"/>
        <v>0</v>
      </c>
      <c r="AY79" s="327">
        <f t="shared" si="8"/>
        <v>0</v>
      </c>
      <c r="AZ79" s="288">
        <f t="shared" si="11"/>
        <v>0</v>
      </c>
      <c r="BA79" s="288"/>
    </row>
    <row r="80" spans="45:53" s="246" customFormat="1" ht="15" x14ac:dyDescent="0.2">
      <c r="AS80" s="288" t="str">
        <f t="shared" si="9"/>
        <v/>
      </c>
      <c r="AT80" s="326">
        <f t="shared" si="12"/>
        <v>0</v>
      </c>
      <c r="AU80" s="326"/>
      <c r="AV80" s="326">
        <f t="shared" si="10"/>
        <v>0</v>
      </c>
      <c r="AW80" s="326">
        <f t="shared" si="13"/>
        <v>0</v>
      </c>
      <c r="AX80" s="288">
        <f t="shared" si="7"/>
        <v>0</v>
      </c>
      <c r="AY80" s="327">
        <f t="shared" si="8"/>
        <v>0</v>
      </c>
      <c r="AZ80" s="288">
        <f t="shared" si="11"/>
        <v>0</v>
      </c>
      <c r="BA80" s="288"/>
    </row>
    <row r="81" spans="45:53" s="246" customFormat="1" ht="15" x14ac:dyDescent="0.2">
      <c r="AS81" s="288" t="str">
        <f t="shared" si="9"/>
        <v/>
      </c>
      <c r="AT81" s="326">
        <f t="shared" si="12"/>
        <v>0</v>
      </c>
      <c r="AU81" s="326"/>
      <c r="AV81" s="326">
        <f t="shared" si="10"/>
        <v>0</v>
      </c>
      <c r="AW81" s="326">
        <f t="shared" si="13"/>
        <v>0</v>
      </c>
      <c r="AX81" s="288">
        <f t="shared" si="7"/>
        <v>0</v>
      </c>
      <c r="AY81" s="327">
        <f t="shared" si="8"/>
        <v>0</v>
      </c>
      <c r="AZ81" s="288">
        <f t="shared" si="11"/>
        <v>0</v>
      </c>
      <c r="BA81" s="288"/>
    </row>
    <row r="82" spans="45:53" s="246" customFormat="1" ht="15" x14ac:dyDescent="0.2">
      <c r="AS82" s="288" t="str">
        <f t="shared" si="9"/>
        <v/>
      </c>
      <c r="AT82" s="326">
        <f t="shared" si="12"/>
        <v>0</v>
      </c>
      <c r="AU82" s="326"/>
      <c r="AV82" s="326">
        <f t="shared" si="10"/>
        <v>0</v>
      </c>
      <c r="AW82" s="326">
        <f t="shared" si="13"/>
        <v>0</v>
      </c>
      <c r="AX82" s="288">
        <f t="shared" ref="AX82:AX114" si="14">IF(ISNUMBER(AS83),SUM(AU82:AV82),SUM(AU82:AW82))</f>
        <v>0</v>
      </c>
      <c r="AY82" s="327">
        <f t="shared" si="8"/>
        <v>0</v>
      </c>
      <c r="AZ82" s="288">
        <f t="shared" si="11"/>
        <v>0</v>
      </c>
      <c r="BA82" s="288"/>
    </row>
    <row r="83" spans="45:53" s="246" customFormat="1" ht="15" x14ac:dyDescent="0.2">
      <c r="AS83" s="288" t="str">
        <f t="shared" si="9"/>
        <v/>
      </c>
      <c r="AT83" s="326">
        <f t="shared" si="12"/>
        <v>0</v>
      </c>
      <c r="AU83" s="326"/>
      <c r="AV83" s="326">
        <f t="shared" si="10"/>
        <v>0</v>
      </c>
      <c r="AW83" s="326">
        <f t="shared" si="13"/>
        <v>0</v>
      </c>
      <c r="AX83" s="288">
        <f t="shared" si="14"/>
        <v>0</v>
      </c>
      <c r="AY83" s="327">
        <f t="shared" si="8"/>
        <v>0</v>
      </c>
      <c r="AZ83" s="288">
        <f t="shared" si="11"/>
        <v>0</v>
      </c>
      <c r="BA83" s="288"/>
    </row>
    <row r="84" spans="45:53" s="246" customFormat="1" ht="15" x14ac:dyDescent="0.2">
      <c r="AS84" s="288" t="str">
        <f t="shared" si="9"/>
        <v/>
      </c>
      <c r="AT84" s="326">
        <f t="shared" si="12"/>
        <v>0</v>
      </c>
      <c r="AU84" s="326"/>
      <c r="AV84" s="326">
        <f t="shared" si="10"/>
        <v>0</v>
      </c>
      <c r="AW84" s="326">
        <f t="shared" si="13"/>
        <v>0</v>
      </c>
      <c r="AX84" s="288">
        <f t="shared" si="14"/>
        <v>0</v>
      </c>
      <c r="AY84" s="327">
        <f t="shared" si="8"/>
        <v>0</v>
      </c>
      <c r="AZ84" s="288">
        <f t="shared" si="11"/>
        <v>0</v>
      </c>
      <c r="BA84" s="288"/>
    </row>
    <row r="85" spans="45:53" s="246" customFormat="1" ht="15" x14ac:dyDescent="0.2">
      <c r="AS85" s="288" t="str">
        <f t="shared" si="9"/>
        <v/>
      </c>
      <c r="AT85" s="326">
        <f t="shared" si="12"/>
        <v>0</v>
      </c>
      <c r="AU85" s="326"/>
      <c r="AV85" s="326">
        <f t="shared" si="10"/>
        <v>0</v>
      </c>
      <c r="AW85" s="326">
        <f t="shared" si="13"/>
        <v>0</v>
      </c>
      <c r="AX85" s="288">
        <f t="shared" si="14"/>
        <v>0</v>
      </c>
      <c r="AY85" s="327">
        <f t="shared" si="8"/>
        <v>0</v>
      </c>
      <c r="AZ85" s="288">
        <f t="shared" si="11"/>
        <v>0</v>
      </c>
      <c r="BA85" s="288"/>
    </row>
    <row r="86" spans="45:53" s="246" customFormat="1" ht="15" x14ac:dyDescent="0.2">
      <c r="AS86" s="288" t="str">
        <f t="shared" si="9"/>
        <v/>
      </c>
      <c r="AT86" s="326">
        <f t="shared" si="12"/>
        <v>0</v>
      </c>
      <c r="AU86" s="326"/>
      <c r="AV86" s="326">
        <f t="shared" si="10"/>
        <v>0</v>
      </c>
      <c r="AW86" s="326">
        <f t="shared" si="13"/>
        <v>0</v>
      </c>
      <c r="AX86" s="288">
        <f t="shared" si="14"/>
        <v>0</v>
      </c>
      <c r="AY86" s="327">
        <f t="shared" si="8"/>
        <v>0</v>
      </c>
      <c r="AZ86" s="288">
        <f t="shared" si="11"/>
        <v>0</v>
      </c>
      <c r="BA86" s="288"/>
    </row>
    <row r="87" spans="45:53" s="246" customFormat="1" ht="15" x14ac:dyDescent="0.2">
      <c r="AS87" s="288" t="str">
        <f t="shared" si="9"/>
        <v/>
      </c>
      <c r="AT87" s="326">
        <f t="shared" si="12"/>
        <v>0</v>
      </c>
      <c r="AU87" s="326"/>
      <c r="AV87" s="326">
        <f t="shared" si="10"/>
        <v>0</v>
      </c>
      <c r="AW87" s="326">
        <f t="shared" si="13"/>
        <v>0</v>
      </c>
      <c r="AX87" s="288">
        <f t="shared" si="14"/>
        <v>0</v>
      </c>
      <c r="AY87" s="327">
        <f t="shared" si="8"/>
        <v>0</v>
      </c>
      <c r="AZ87" s="288">
        <f t="shared" si="11"/>
        <v>0</v>
      </c>
      <c r="BA87" s="288"/>
    </row>
    <row r="88" spans="45:53" s="246" customFormat="1" ht="15" x14ac:dyDescent="0.2">
      <c r="AS88" s="288" t="str">
        <f t="shared" si="9"/>
        <v/>
      </c>
      <c r="AT88" s="326">
        <f t="shared" si="12"/>
        <v>0</v>
      </c>
      <c r="AU88" s="326"/>
      <c r="AV88" s="326">
        <f t="shared" si="10"/>
        <v>0</v>
      </c>
      <c r="AW88" s="326">
        <f t="shared" si="13"/>
        <v>0</v>
      </c>
      <c r="AX88" s="288">
        <f t="shared" si="14"/>
        <v>0</v>
      </c>
      <c r="AY88" s="327">
        <f t="shared" si="8"/>
        <v>0</v>
      </c>
      <c r="AZ88" s="288">
        <f t="shared" si="11"/>
        <v>0</v>
      </c>
      <c r="BA88" s="288"/>
    </row>
    <row r="89" spans="45:53" s="246" customFormat="1" ht="15" x14ac:dyDescent="0.2">
      <c r="AS89" s="288" t="str">
        <f t="shared" si="9"/>
        <v/>
      </c>
      <c r="AT89" s="326">
        <f t="shared" si="12"/>
        <v>0</v>
      </c>
      <c r="AU89" s="326"/>
      <c r="AV89" s="326">
        <f t="shared" si="10"/>
        <v>0</v>
      </c>
      <c r="AW89" s="326">
        <f t="shared" si="13"/>
        <v>0</v>
      </c>
      <c r="AX89" s="288">
        <f t="shared" si="14"/>
        <v>0</v>
      </c>
      <c r="AY89" s="327">
        <f t="shared" si="8"/>
        <v>0</v>
      </c>
      <c r="AZ89" s="288">
        <f t="shared" si="11"/>
        <v>0</v>
      </c>
      <c r="BA89" s="288"/>
    </row>
    <row r="90" spans="45:53" s="246" customFormat="1" ht="15" x14ac:dyDescent="0.2">
      <c r="AS90" s="288" t="str">
        <f t="shared" si="9"/>
        <v/>
      </c>
      <c r="AT90" s="326">
        <f t="shared" si="12"/>
        <v>0</v>
      </c>
      <c r="AU90" s="326"/>
      <c r="AV90" s="326">
        <f t="shared" si="10"/>
        <v>0</v>
      </c>
      <c r="AW90" s="326">
        <f t="shared" si="13"/>
        <v>0</v>
      </c>
      <c r="AX90" s="288">
        <f t="shared" si="14"/>
        <v>0</v>
      </c>
      <c r="AY90" s="327">
        <f t="shared" si="8"/>
        <v>0</v>
      </c>
      <c r="AZ90" s="288">
        <f t="shared" si="11"/>
        <v>0</v>
      </c>
      <c r="BA90" s="288"/>
    </row>
    <row r="91" spans="45:53" s="246" customFormat="1" ht="15" x14ac:dyDescent="0.2">
      <c r="AS91" s="288" t="str">
        <f t="shared" si="9"/>
        <v/>
      </c>
      <c r="AT91" s="326">
        <f t="shared" si="12"/>
        <v>0</v>
      </c>
      <c r="AU91" s="326"/>
      <c r="AV91" s="326">
        <f t="shared" si="10"/>
        <v>0</v>
      </c>
      <c r="AW91" s="326">
        <f t="shared" si="13"/>
        <v>0</v>
      </c>
      <c r="AX91" s="288">
        <f t="shared" si="14"/>
        <v>0</v>
      </c>
      <c r="AY91" s="327">
        <f t="shared" si="8"/>
        <v>0</v>
      </c>
      <c r="AZ91" s="288">
        <f t="shared" si="11"/>
        <v>0</v>
      </c>
      <c r="BA91" s="288"/>
    </row>
    <row r="92" spans="45:53" s="246" customFormat="1" ht="15" x14ac:dyDescent="0.2">
      <c r="AS92" s="288" t="str">
        <f t="shared" si="9"/>
        <v/>
      </c>
      <c r="AT92" s="326">
        <f t="shared" si="12"/>
        <v>0</v>
      </c>
      <c r="AU92" s="326"/>
      <c r="AV92" s="326">
        <f t="shared" si="10"/>
        <v>0</v>
      </c>
      <c r="AW92" s="326">
        <f t="shared" si="13"/>
        <v>0</v>
      </c>
      <c r="AX92" s="288">
        <f t="shared" si="14"/>
        <v>0</v>
      </c>
      <c r="AY92" s="327">
        <f t="shared" si="8"/>
        <v>0</v>
      </c>
      <c r="AZ92" s="288">
        <f t="shared" si="11"/>
        <v>0</v>
      </c>
      <c r="BA92" s="288"/>
    </row>
    <row r="93" spans="45:53" s="246" customFormat="1" ht="15" x14ac:dyDescent="0.2">
      <c r="AS93" s="288" t="str">
        <f t="shared" si="9"/>
        <v/>
      </c>
      <c r="AT93" s="326">
        <f t="shared" si="12"/>
        <v>0</v>
      </c>
      <c r="AU93" s="326"/>
      <c r="AV93" s="326">
        <f t="shared" si="10"/>
        <v>0</v>
      </c>
      <c r="AW93" s="326">
        <f t="shared" si="13"/>
        <v>0</v>
      </c>
      <c r="AX93" s="288">
        <f t="shared" si="14"/>
        <v>0</v>
      </c>
      <c r="AY93" s="327">
        <f t="shared" si="8"/>
        <v>0</v>
      </c>
      <c r="AZ93" s="288">
        <f t="shared" si="11"/>
        <v>0</v>
      </c>
      <c r="BA93" s="288"/>
    </row>
    <row r="94" spans="45:53" s="246" customFormat="1" ht="15" x14ac:dyDescent="0.2">
      <c r="AS94" s="288" t="str">
        <f t="shared" si="9"/>
        <v/>
      </c>
      <c r="AT94" s="326">
        <f t="shared" si="12"/>
        <v>0</v>
      </c>
      <c r="AU94" s="326"/>
      <c r="AV94" s="326">
        <f t="shared" si="10"/>
        <v>0</v>
      </c>
      <c r="AW94" s="326">
        <f t="shared" si="13"/>
        <v>0</v>
      </c>
      <c r="AX94" s="288">
        <f t="shared" si="14"/>
        <v>0</v>
      </c>
      <c r="AY94" s="327">
        <f t="shared" si="8"/>
        <v>0</v>
      </c>
      <c r="AZ94" s="288">
        <f t="shared" si="11"/>
        <v>0</v>
      </c>
      <c r="BA94" s="288"/>
    </row>
    <row r="95" spans="45:53" s="246" customFormat="1" ht="15" x14ac:dyDescent="0.2">
      <c r="AS95" s="288" t="str">
        <f t="shared" si="9"/>
        <v/>
      </c>
      <c r="AT95" s="326">
        <f t="shared" si="12"/>
        <v>0</v>
      </c>
      <c r="AU95" s="326"/>
      <c r="AV95" s="326">
        <f t="shared" si="10"/>
        <v>0</v>
      </c>
      <c r="AW95" s="326">
        <f t="shared" si="13"/>
        <v>0</v>
      </c>
      <c r="AX95" s="288">
        <f t="shared" si="14"/>
        <v>0</v>
      </c>
      <c r="AY95" s="327">
        <f t="shared" si="8"/>
        <v>0</v>
      </c>
      <c r="AZ95" s="288">
        <f t="shared" si="11"/>
        <v>0</v>
      </c>
      <c r="BA95" s="288"/>
    </row>
    <row r="96" spans="45:53" s="246" customFormat="1" ht="15" x14ac:dyDescent="0.2">
      <c r="AS96" s="288" t="str">
        <f t="shared" si="9"/>
        <v/>
      </c>
      <c r="AT96" s="326">
        <f t="shared" si="12"/>
        <v>0</v>
      </c>
      <c r="AU96" s="326"/>
      <c r="AV96" s="326">
        <f t="shared" si="10"/>
        <v>0</v>
      </c>
      <c r="AW96" s="326">
        <f t="shared" si="13"/>
        <v>0</v>
      </c>
      <c r="AX96" s="288">
        <f t="shared" si="14"/>
        <v>0</v>
      </c>
      <c r="AY96" s="327">
        <f t="shared" si="8"/>
        <v>0</v>
      </c>
      <c r="AZ96" s="288">
        <f t="shared" si="11"/>
        <v>0</v>
      </c>
      <c r="BA96" s="288"/>
    </row>
    <row r="97" spans="45:53" s="246" customFormat="1" ht="15" x14ac:dyDescent="0.2">
      <c r="AS97" s="288" t="str">
        <f t="shared" si="9"/>
        <v/>
      </c>
      <c r="AT97" s="326">
        <f t="shared" si="12"/>
        <v>0</v>
      </c>
      <c r="AU97" s="326"/>
      <c r="AV97" s="326">
        <f t="shared" si="10"/>
        <v>0</v>
      </c>
      <c r="AW97" s="326">
        <f t="shared" si="13"/>
        <v>0</v>
      </c>
      <c r="AX97" s="288">
        <f t="shared" si="14"/>
        <v>0</v>
      </c>
      <c r="AY97" s="327">
        <f t="shared" si="8"/>
        <v>0</v>
      </c>
      <c r="AZ97" s="288">
        <f t="shared" si="11"/>
        <v>0</v>
      </c>
      <c r="BA97" s="288"/>
    </row>
    <row r="98" spans="45:53" s="246" customFormat="1" ht="15" x14ac:dyDescent="0.2">
      <c r="AS98" s="288" t="str">
        <f t="shared" si="9"/>
        <v/>
      </c>
      <c r="AT98" s="326">
        <f t="shared" si="12"/>
        <v>0</v>
      </c>
      <c r="AU98" s="326"/>
      <c r="AV98" s="326">
        <f t="shared" si="10"/>
        <v>0</v>
      </c>
      <c r="AW98" s="326">
        <f t="shared" si="13"/>
        <v>0</v>
      </c>
      <c r="AX98" s="288">
        <f t="shared" si="14"/>
        <v>0</v>
      </c>
      <c r="AY98" s="327">
        <f t="shared" si="8"/>
        <v>0</v>
      </c>
      <c r="AZ98" s="288">
        <f t="shared" si="11"/>
        <v>0</v>
      </c>
      <c r="BA98" s="288"/>
    </row>
    <row r="99" spans="45:53" s="246" customFormat="1" ht="15" x14ac:dyDescent="0.2">
      <c r="AS99" s="288" t="str">
        <f t="shared" si="9"/>
        <v/>
      </c>
      <c r="AT99" s="326">
        <f t="shared" si="12"/>
        <v>0</v>
      </c>
      <c r="AU99" s="326"/>
      <c r="AV99" s="326">
        <f t="shared" si="10"/>
        <v>0</v>
      </c>
      <c r="AW99" s="326">
        <f t="shared" si="13"/>
        <v>0</v>
      </c>
      <c r="AX99" s="288">
        <f t="shared" si="14"/>
        <v>0</v>
      </c>
      <c r="AY99" s="327">
        <f t="shared" si="8"/>
        <v>0</v>
      </c>
      <c r="AZ99" s="288">
        <f t="shared" si="11"/>
        <v>0</v>
      </c>
      <c r="BA99" s="288"/>
    </row>
    <row r="100" spans="45:53" s="246" customFormat="1" ht="15" x14ac:dyDescent="0.2">
      <c r="AS100" s="288" t="str">
        <f t="shared" si="9"/>
        <v/>
      </c>
      <c r="AT100" s="326">
        <f t="shared" si="12"/>
        <v>0</v>
      </c>
      <c r="AU100" s="326"/>
      <c r="AV100" s="326">
        <f t="shared" si="10"/>
        <v>0</v>
      </c>
      <c r="AW100" s="326">
        <f t="shared" si="13"/>
        <v>0</v>
      </c>
      <c r="AX100" s="288">
        <f t="shared" si="14"/>
        <v>0</v>
      </c>
      <c r="AY100" s="327">
        <f t="shared" si="8"/>
        <v>0</v>
      </c>
      <c r="AZ100" s="288">
        <f t="shared" si="11"/>
        <v>0</v>
      </c>
      <c r="BA100" s="288"/>
    </row>
    <row r="101" spans="45:53" s="246" customFormat="1" ht="15" x14ac:dyDescent="0.2">
      <c r="AS101" s="288" t="str">
        <f t="shared" si="9"/>
        <v/>
      </c>
      <c r="AT101" s="326">
        <f t="shared" si="12"/>
        <v>0</v>
      </c>
      <c r="AU101" s="326"/>
      <c r="AV101" s="326">
        <f t="shared" si="10"/>
        <v>0</v>
      </c>
      <c r="AW101" s="326">
        <f t="shared" si="13"/>
        <v>0</v>
      </c>
      <c r="AX101" s="288">
        <f t="shared" si="14"/>
        <v>0</v>
      </c>
      <c r="AY101" s="327">
        <f t="shared" si="8"/>
        <v>0</v>
      </c>
      <c r="AZ101" s="288">
        <f t="shared" si="11"/>
        <v>0</v>
      </c>
      <c r="BA101" s="288"/>
    </row>
    <row r="102" spans="45:53" s="246" customFormat="1" ht="15" x14ac:dyDescent="0.2">
      <c r="AS102" s="288" t="str">
        <f t="shared" si="9"/>
        <v/>
      </c>
      <c r="AT102" s="326">
        <f t="shared" si="12"/>
        <v>0</v>
      </c>
      <c r="AU102" s="326"/>
      <c r="AV102" s="326">
        <f t="shared" si="10"/>
        <v>0</v>
      </c>
      <c r="AW102" s="326">
        <f t="shared" si="13"/>
        <v>0</v>
      </c>
      <c r="AX102" s="288">
        <f t="shared" si="14"/>
        <v>0</v>
      </c>
      <c r="AY102" s="327">
        <f t="shared" si="8"/>
        <v>0</v>
      </c>
      <c r="AZ102" s="288">
        <f t="shared" si="11"/>
        <v>0</v>
      </c>
      <c r="BA102" s="288"/>
    </row>
    <row r="103" spans="45:53" s="246" customFormat="1" ht="15" x14ac:dyDescent="0.2">
      <c r="AS103" s="288" t="str">
        <f t="shared" si="9"/>
        <v/>
      </c>
      <c r="AT103" s="326">
        <f t="shared" si="12"/>
        <v>0</v>
      </c>
      <c r="AU103" s="326"/>
      <c r="AV103" s="326">
        <f t="shared" si="10"/>
        <v>0</v>
      </c>
      <c r="AW103" s="326">
        <f t="shared" si="13"/>
        <v>0</v>
      </c>
      <c r="AX103" s="288">
        <f t="shared" si="14"/>
        <v>0</v>
      </c>
      <c r="AY103" s="327">
        <f t="shared" ref="AY103:AY114" si="15">LN(AX103+$J$37)-LN($J$37)</f>
        <v>0</v>
      </c>
      <c r="AZ103" s="288">
        <f t="shared" si="11"/>
        <v>0</v>
      </c>
      <c r="BA103" s="288"/>
    </row>
    <row r="104" spans="45:53" s="246" customFormat="1" ht="15" x14ac:dyDescent="0.2">
      <c r="AS104" s="288" t="str">
        <f t="shared" si="9"/>
        <v/>
      </c>
      <c r="AT104" s="326">
        <f t="shared" si="12"/>
        <v>0</v>
      </c>
      <c r="AU104" s="326"/>
      <c r="AV104" s="326">
        <f t="shared" si="10"/>
        <v>0</v>
      </c>
      <c r="AW104" s="326">
        <f t="shared" si="13"/>
        <v>0</v>
      </c>
      <c r="AX104" s="288">
        <f t="shared" si="14"/>
        <v>0</v>
      </c>
      <c r="AY104" s="327">
        <f t="shared" si="15"/>
        <v>0</v>
      </c>
      <c r="AZ104" s="288">
        <f t="shared" si="11"/>
        <v>0</v>
      </c>
      <c r="BA104" s="288"/>
    </row>
    <row r="105" spans="45:53" s="246" customFormat="1" ht="15" x14ac:dyDescent="0.2">
      <c r="AS105" s="288" t="str">
        <f t="shared" si="9"/>
        <v/>
      </c>
      <c r="AT105" s="326">
        <f t="shared" si="12"/>
        <v>0</v>
      </c>
      <c r="AU105" s="326"/>
      <c r="AV105" s="326">
        <f t="shared" si="10"/>
        <v>0</v>
      </c>
      <c r="AW105" s="326">
        <f t="shared" si="13"/>
        <v>0</v>
      </c>
      <c r="AX105" s="288">
        <f t="shared" si="14"/>
        <v>0</v>
      </c>
      <c r="AY105" s="327">
        <f t="shared" si="15"/>
        <v>0</v>
      </c>
      <c r="AZ105" s="288">
        <f t="shared" si="11"/>
        <v>0</v>
      </c>
      <c r="BA105" s="288"/>
    </row>
    <row r="106" spans="45:53" s="246" customFormat="1" ht="15" x14ac:dyDescent="0.2">
      <c r="AS106" s="288" t="str">
        <f t="shared" si="9"/>
        <v/>
      </c>
      <c r="AT106" s="326">
        <f t="shared" si="12"/>
        <v>0</v>
      </c>
      <c r="AU106" s="326"/>
      <c r="AV106" s="326">
        <f t="shared" si="10"/>
        <v>0</v>
      </c>
      <c r="AW106" s="326">
        <f t="shared" si="13"/>
        <v>0</v>
      </c>
      <c r="AX106" s="288">
        <f t="shared" si="14"/>
        <v>0</v>
      </c>
      <c r="AY106" s="327">
        <f t="shared" si="15"/>
        <v>0</v>
      </c>
      <c r="AZ106" s="288">
        <f t="shared" si="11"/>
        <v>0</v>
      </c>
      <c r="BA106" s="288"/>
    </row>
    <row r="107" spans="45:53" s="246" customFormat="1" ht="15" x14ac:dyDescent="0.2">
      <c r="AS107" s="288" t="str">
        <f t="shared" si="9"/>
        <v/>
      </c>
      <c r="AT107" s="326">
        <f t="shared" si="12"/>
        <v>0</v>
      </c>
      <c r="AU107" s="326"/>
      <c r="AV107" s="326">
        <f t="shared" si="10"/>
        <v>0</v>
      </c>
      <c r="AW107" s="326">
        <f t="shared" si="13"/>
        <v>0</v>
      </c>
      <c r="AX107" s="288">
        <f t="shared" si="14"/>
        <v>0</v>
      </c>
      <c r="AY107" s="327">
        <f t="shared" si="15"/>
        <v>0</v>
      </c>
      <c r="AZ107" s="288">
        <f t="shared" si="11"/>
        <v>0</v>
      </c>
      <c r="BA107" s="288"/>
    </row>
    <row r="108" spans="45:53" s="246" customFormat="1" ht="15" x14ac:dyDescent="0.2">
      <c r="AS108" s="288" t="str">
        <f t="shared" si="9"/>
        <v/>
      </c>
      <c r="AT108" s="326">
        <f t="shared" si="12"/>
        <v>0</v>
      </c>
      <c r="AU108" s="326"/>
      <c r="AV108" s="326">
        <f t="shared" si="10"/>
        <v>0</v>
      </c>
      <c r="AW108" s="326">
        <f t="shared" si="13"/>
        <v>0</v>
      </c>
      <c r="AX108" s="288">
        <f t="shared" si="14"/>
        <v>0</v>
      </c>
      <c r="AY108" s="327">
        <f t="shared" si="15"/>
        <v>0</v>
      </c>
      <c r="AZ108" s="288">
        <f t="shared" si="11"/>
        <v>0</v>
      </c>
      <c r="BA108" s="288"/>
    </row>
    <row r="109" spans="45:53" s="246" customFormat="1" ht="15" x14ac:dyDescent="0.2">
      <c r="AS109" s="288" t="str">
        <f t="shared" si="9"/>
        <v/>
      </c>
      <c r="AT109" s="326">
        <f t="shared" si="12"/>
        <v>0</v>
      </c>
      <c r="AU109" s="326"/>
      <c r="AV109" s="326">
        <f t="shared" si="10"/>
        <v>0</v>
      </c>
      <c r="AW109" s="326">
        <f t="shared" si="13"/>
        <v>0</v>
      </c>
      <c r="AX109" s="288">
        <f t="shared" si="14"/>
        <v>0</v>
      </c>
      <c r="AY109" s="327">
        <f t="shared" si="15"/>
        <v>0</v>
      </c>
      <c r="AZ109" s="288">
        <f t="shared" si="11"/>
        <v>0</v>
      </c>
      <c r="BA109" s="288"/>
    </row>
    <row r="110" spans="45:53" s="246" customFormat="1" ht="15" x14ac:dyDescent="0.2">
      <c r="AS110" s="288" t="str">
        <f t="shared" si="9"/>
        <v/>
      </c>
      <c r="AT110" s="326">
        <f t="shared" si="12"/>
        <v>0</v>
      </c>
      <c r="AU110" s="326"/>
      <c r="AV110" s="326">
        <f t="shared" si="10"/>
        <v>0</v>
      </c>
      <c r="AW110" s="326">
        <f t="shared" si="13"/>
        <v>0</v>
      </c>
      <c r="AX110" s="288">
        <f t="shared" si="14"/>
        <v>0</v>
      </c>
      <c r="AY110" s="327">
        <f t="shared" si="15"/>
        <v>0</v>
      </c>
      <c r="AZ110" s="288">
        <f t="shared" si="11"/>
        <v>0</v>
      </c>
      <c r="BA110" s="288"/>
    </row>
    <row r="111" spans="45:53" s="246" customFormat="1" ht="15" x14ac:dyDescent="0.2">
      <c r="AS111" s="288" t="str">
        <f t="shared" si="9"/>
        <v/>
      </c>
      <c r="AT111" s="326">
        <f t="shared" si="12"/>
        <v>0</v>
      </c>
      <c r="AU111" s="326"/>
      <c r="AV111" s="326">
        <f t="shared" si="10"/>
        <v>0</v>
      </c>
      <c r="AW111" s="326">
        <f t="shared" si="13"/>
        <v>0</v>
      </c>
      <c r="AX111" s="288">
        <f t="shared" si="14"/>
        <v>0</v>
      </c>
      <c r="AY111" s="327">
        <f t="shared" si="15"/>
        <v>0</v>
      </c>
      <c r="AZ111" s="288">
        <f t="shared" si="11"/>
        <v>0</v>
      </c>
      <c r="BA111" s="288"/>
    </row>
    <row r="112" spans="45:53" s="246" customFormat="1" ht="15" x14ac:dyDescent="0.2">
      <c r="AS112" s="288" t="str">
        <f t="shared" si="9"/>
        <v/>
      </c>
      <c r="AT112" s="326">
        <f t="shared" si="12"/>
        <v>0</v>
      </c>
      <c r="AU112" s="326"/>
      <c r="AV112" s="326">
        <f t="shared" si="10"/>
        <v>0</v>
      </c>
      <c r="AW112" s="326">
        <f t="shared" si="13"/>
        <v>0</v>
      </c>
      <c r="AX112" s="288">
        <f t="shared" si="14"/>
        <v>0</v>
      </c>
      <c r="AY112" s="327">
        <f t="shared" si="15"/>
        <v>0</v>
      </c>
      <c r="AZ112" s="288">
        <f t="shared" si="11"/>
        <v>0</v>
      </c>
      <c r="BA112" s="288"/>
    </row>
    <row r="113" spans="45:53" s="246" customFormat="1" ht="15" x14ac:dyDescent="0.2">
      <c r="AS113" s="288" t="str">
        <f t="shared" si="9"/>
        <v/>
      </c>
      <c r="AT113" s="326">
        <f t="shared" si="12"/>
        <v>0</v>
      </c>
      <c r="AU113" s="326"/>
      <c r="AV113" s="326">
        <f t="shared" si="10"/>
        <v>0</v>
      </c>
      <c r="AW113" s="326">
        <f t="shared" si="13"/>
        <v>0</v>
      </c>
      <c r="AX113" s="288">
        <f t="shared" si="14"/>
        <v>0</v>
      </c>
      <c r="AY113" s="327">
        <f t="shared" si="15"/>
        <v>0</v>
      </c>
      <c r="AZ113" s="288">
        <f t="shared" si="11"/>
        <v>0</v>
      </c>
      <c r="BA113" s="288"/>
    </row>
    <row r="114" spans="45:53" s="246" customFormat="1" ht="15" x14ac:dyDescent="0.2">
      <c r="AS114" s="288" t="str">
        <f t="shared" si="9"/>
        <v/>
      </c>
      <c r="AT114" s="326">
        <f t="shared" si="12"/>
        <v>0</v>
      </c>
      <c r="AU114" s="326"/>
      <c r="AV114" s="326">
        <f t="shared" si="10"/>
        <v>0</v>
      </c>
      <c r="AW114" s="326">
        <f t="shared" si="13"/>
        <v>0</v>
      </c>
      <c r="AX114" s="288">
        <f t="shared" si="14"/>
        <v>0</v>
      </c>
      <c r="AY114" s="327">
        <f t="shared" si="15"/>
        <v>0</v>
      </c>
      <c r="AZ114" s="288">
        <f t="shared" si="11"/>
        <v>0</v>
      </c>
      <c r="BA114" s="288"/>
    </row>
    <row r="115" spans="45:53" s="246" customFormat="1" ht="15" x14ac:dyDescent="0.2">
      <c r="BA115" s="288"/>
    </row>
    <row r="116" spans="45:53" s="246" customFormat="1" ht="15" x14ac:dyDescent="0.2">
      <c r="BA116" s="288"/>
    </row>
    <row r="117" spans="45:53" s="246" customFormat="1" ht="15" x14ac:dyDescent="0.2">
      <c r="BA117" s="288"/>
    </row>
    <row r="118" spans="45:53" s="246" customFormat="1" ht="15" x14ac:dyDescent="0.2">
      <c r="BA118" s="288"/>
    </row>
    <row r="119" spans="45:53" ht="15" x14ac:dyDescent="0.2">
      <c r="BA119" s="232"/>
    </row>
  </sheetData>
  <mergeCells count="68">
    <mergeCell ref="S2:T3"/>
    <mergeCell ref="Z2:AB3"/>
    <mergeCell ref="B4:D5"/>
    <mergeCell ref="F4:G5"/>
    <mergeCell ref="T4:U4"/>
    <mergeCell ref="V4:W4"/>
    <mergeCell ref="T5:U5"/>
    <mergeCell ref="V5:W5"/>
    <mergeCell ref="AE6:AE7"/>
    <mergeCell ref="B7:B11"/>
    <mergeCell ref="Q8:Q11"/>
    <mergeCell ref="T8:U8"/>
    <mergeCell ref="V8:W8"/>
    <mergeCell ref="C9:D9"/>
    <mergeCell ref="T9:U9"/>
    <mergeCell ref="V9:W9"/>
    <mergeCell ref="Z9:AA9"/>
    <mergeCell ref="T10:U10"/>
    <mergeCell ref="C6:D6"/>
    <mergeCell ref="I6:J6"/>
    <mergeCell ref="L6:M6"/>
    <mergeCell ref="T6:U6"/>
    <mergeCell ref="V6:W6"/>
    <mergeCell ref="AD6:AD7"/>
    <mergeCell ref="V10:W10"/>
    <mergeCell ref="Z10:AA10"/>
    <mergeCell ref="T11:U11"/>
    <mergeCell ref="V11:W11"/>
    <mergeCell ref="T12:U12"/>
    <mergeCell ref="V12:W12"/>
    <mergeCell ref="Q13:Q14"/>
    <mergeCell ref="T13:U13"/>
    <mergeCell ref="V13:W13"/>
    <mergeCell ref="B14:B18"/>
    <mergeCell ref="C14:C15"/>
    <mergeCell ref="D14:D15"/>
    <mergeCell ref="F14:F15"/>
    <mergeCell ref="G14:G15"/>
    <mergeCell ref="T14:U14"/>
    <mergeCell ref="V14:W14"/>
    <mergeCell ref="T15:U15"/>
    <mergeCell ref="C16:C17"/>
    <mergeCell ref="D16:D17"/>
    <mergeCell ref="F16:F17"/>
    <mergeCell ref="G16:G17"/>
    <mergeCell ref="T16:U16"/>
    <mergeCell ref="L17:M17"/>
    <mergeCell ref="T17:U17"/>
    <mergeCell ref="T18:U18"/>
    <mergeCell ref="T19:U19"/>
    <mergeCell ref="F21:F24"/>
    <mergeCell ref="Q21:Q25"/>
    <mergeCell ref="R21:S22"/>
    <mergeCell ref="U21:W22"/>
    <mergeCell ref="J37:N37"/>
    <mergeCell ref="O37:P37"/>
    <mergeCell ref="D38:G38"/>
    <mergeCell ref="R38:T38"/>
    <mergeCell ref="B23:E26"/>
    <mergeCell ref="F31:F34"/>
    <mergeCell ref="R33:V33"/>
    <mergeCell ref="B36:B38"/>
    <mergeCell ref="D36:F36"/>
    <mergeCell ref="H36:I36"/>
    <mergeCell ref="J36:N36"/>
    <mergeCell ref="O36:P36"/>
    <mergeCell ref="D37:F37"/>
    <mergeCell ref="H37:I37"/>
  </mergeCells>
  <phoneticPr fontId="49" type="noConversion"/>
  <dataValidations count="3">
    <dataValidation type="list" allowBlank="1" showInputMessage="1" sqref="K9">
      <formula1>$C$30:$G$30</formula1>
    </dataValidation>
    <dataValidation type="list" allowBlank="1" showInputMessage="1" sqref="K14">
      <formula1>$C$21:$G$21</formula1>
    </dataValidation>
    <dataValidation type="list" allowBlank="1" showInputMessage="1" sqref="K15">
      <formula1>$C$28:$G$28</formula1>
    </dataValidation>
  </dataValidations>
  <hyperlinks>
    <hyperlink ref="H38" r:id="rId1" location="Grantstructure"/>
  </hyperlinks>
  <pageMargins left="0.7" right="0.7" top="0.75" bottom="0.75" header="0.3" footer="0.3"/>
  <legacyDrawing r:id="rId2"/>
  <extLst>
    <ext xmlns:x14="http://schemas.microsoft.com/office/spreadsheetml/2009/9/main" uri="{CCE6A557-97BC-4b89-ADB6-D9C93CAAB3DF}">
      <x14:dataValidations xmlns:xm="http://schemas.microsoft.com/office/excel/2006/main" count="36">
        <x14:dataValidation type="list" allowBlank="1" showInputMessage="1">
          <x14:formula1>
            <xm:f>Parameters!$D$5:$H$5</xm:f>
          </x14:formula1>
          <xm:sqref>G7</xm:sqref>
        </x14:dataValidation>
        <x14:dataValidation type="list" allowBlank="1" showInputMessage="1">
          <x14:formula1>
            <xm:f>Parameters!$D$9:$H$9</xm:f>
          </x14:formula1>
          <xm:sqref>G10</xm:sqref>
        </x14:dataValidation>
        <x14:dataValidation type="list" allowBlank="1" showInputMessage="1">
          <x14:formula1>
            <xm:f>Parameters!$D$8:$H$8</xm:f>
          </x14:formula1>
          <xm:sqref>G8</xm:sqref>
        </x14:dataValidation>
        <x14:dataValidation type="list" allowBlank="1" showInputMessage="1">
          <x14:formula1>
            <xm:f>Parameters!$D$32:$H$32</xm:f>
          </x14:formula1>
          <xm:sqref>G18</xm:sqref>
        </x14:dataValidation>
        <x14:dataValidation type="list" allowBlank="1" showInputMessage="1">
          <x14:formula1>
            <xm:f>Parameters!$D$7:$H$7</xm:f>
          </x14:formula1>
          <xm:sqref>G9</xm:sqref>
        </x14:dataValidation>
        <x14:dataValidation type="list" allowBlank="1" showInputMessage="1">
          <x14:formula1>
            <xm:f>Parameters!$D$4:$H$4</xm:f>
          </x14:formula1>
          <xm:sqref>D7</xm:sqref>
        </x14:dataValidation>
        <x14:dataValidation type="list" allowBlank="1" showInputMessage="1">
          <x14:formula1>
            <xm:f>Parameters!$D$14:$H$14</xm:f>
          </x14:formula1>
          <xm:sqref>J17:K17</xm:sqref>
        </x14:dataValidation>
        <x14:dataValidation type="list" allowBlank="1" showInputMessage="1">
          <x14:formula1>
            <xm:f>Parameters!$D$17:$H$17</xm:f>
          </x14:formula1>
          <xm:sqref>J18:K18</xm:sqref>
        </x14:dataValidation>
        <x14:dataValidation type="list" allowBlank="1" showInputMessage="1">
          <x14:formula1>
            <xm:f>Parameters!$D$21:$H$21</xm:f>
          </x14:formula1>
          <xm:sqref>J16:K16</xm:sqref>
        </x14:dataValidation>
        <x14:dataValidation type="list" allowBlank="1" showInputMessage="1">
          <x14:formula1>
            <xm:f>Parameters!$D$18:$H$18</xm:f>
          </x14:formula1>
          <xm:sqref>J10</xm:sqref>
        </x14:dataValidation>
        <x14:dataValidation type="list" allowBlank="1" showInputMessage="1">
          <x14:formula1>
            <xm:f>Parameters!$E$23:$G$23</xm:f>
          </x14:formula1>
          <xm:sqref>K7</xm:sqref>
        </x14:dataValidation>
        <x14:dataValidation type="list" allowBlank="1" showInputMessage="1">
          <x14:formula1>
            <xm:f>Parameters!$D$23:$H$23</xm:f>
          </x14:formula1>
          <xm:sqref>J7</xm:sqref>
        </x14:dataValidation>
        <x14:dataValidation type="list" allowBlank="1" showInputMessage="1">
          <x14:formula1>
            <xm:f>Parameters!$E$16:$I$16</xm:f>
          </x14:formula1>
          <xm:sqref>K10</xm:sqref>
        </x14:dataValidation>
        <x14:dataValidation type="list" allowBlank="1" showInputMessage="1">
          <x14:formula1>
            <xm:f>Parameters!$D$16:$H$16</xm:f>
          </x14:formula1>
          <xm:sqref>J8</xm:sqref>
        </x14:dataValidation>
        <x14:dataValidation type="list" allowBlank="1" showInputMessage="1">
          <x14:formula1>
            <xm:f>Parameters!$D$36:$H$36</xm:f>
          </x14:formula1>
          <xm:sqref>M7</xm:sqref>
        </x14:dataValidation>
        <x14:dataValidation type="list" allowBlank="1" showInputMessage="1">
          <x14:formula1>
            <xm:f>Parameters!$D$37:$H$37</xm:f>
          </x14:formula1>
          <xm:sqref>M8</xm:sqref>
        </x14:dataValidation>
        <x14:dataValidation type="list" allowBlank="1" showInputMessage="1">
          <x14:formula1>
            <xm:f>Parameters!$D$38:$H$38</xm:f>
          </x14:formula1>
          <xm:sqref>M9</xm:sqref>
        </x14:dataValidation>
        <x14:dataValidation type="list" allowBlank="1" showInputMessage="1">
          <x14:formula1>
            <xm:f>Parameters!$D$39:$H$39</xm:f>
          </x14:formula1>
          <xm:sqref>M10</xm:sqref>
        </x14:dataValidation>
        <x14:dataValidation type="list" allowBlank="1" showInputMessage="1">
          <x14:formula1>
            <xm:f>Parameters!$D$40:$H$40</xm:f>
          </x14:formula1>
          <xm:sqref>M11</xm:sqref>
        </x14:dataValidation>
        <x14:dataValidation type="list" allowBlank="1" showInputMessage="1">
          <x14:formula1>
            <xm:f>Parameters!$D$41:$H$41</xm:f>
          </x14:formula1>
          <xm:sqref>M12</xm:sqref>
        </x14:dataValidation>
        <x14:dataValidation type="list" allowBlank="1" showInputMessage="1">
          <x14:formula1>
            <xm:f>Parameters!$D$42:$H$42</xm:f>
          </x14:formula1>
          <xm:sqref>M13</xm:sqref>
        </x14:dataValidation>
        <x14:dataValidation type="list" allowBlank="1" showInputMessage="1">
          <x14:formula1>
            <xm:f>Parameters!$D$43:$H$43</xm:f>
          </x14:formula1>
          <xm:sqref>M14</xm:sqref>
        </x14:dataValidation>
        <x14:dataValidation type="list" allowBlank="1" showInputMessage="1">
          <x14:formula1>
            <xm:f>Parameters!$D$44:$H$44</xm:f>
          </x14:formula1>
          <xm:sqref>M15</xm:sqref>
        </x14:dataValidation>
        <x14:dataValidation type="list" allowBlank="1" showInputMessage="1">
          <x14:formula1>
            <xm:f>Parameters!$D$25:$H$25</xm:f>
          </x14:formula1>
          <xm:sqref>J9</xm:sqref>
        </x14:dataValidation>
        <x14:dataValidation type="list" allowBlank="1" showInputMessage="1">
          <x14:formula1>
            <xm:f>Parameters!$D$24:$H$24</xm:f>
          </x14:formula1>
          <xm:sqref>J11</xm:sqref>
        </x14:dataValidation>
        <x14:dataValidation type="list" allowBlank="1" showInputMessage="1">
          <x14:formula1>
            <xm:f>Parameters!$D$15:$H$15</xm:f>
          </x14:formula1>
          <xm:sqref>J15</xm:sqref>
        </x14:dataValidation>
        <x14:dataValidation type="list" allowBlank="1" showInputMessage="1">
          <x14:formula1>
            <xm:f>Parameters!$D$22:$H$22</xm:f>
          </x14:formula1>
          <xm:sqref>J14</xm:sqref>
        </x14:dataValidation>
        <x14:dataValidation type="list" allowBlank="1" showInputMessage="1">
          <x14:formula1>
            <xm:f>Parameters!$D$28:$H$28</xm:f>
          </x14:formula1>
          <xm:sqref>G16</xm:sqref>
        </x14:dataValidation>
        <x14:dataValidation type="list" allowBlank="1" showInputMessage="1">
          <x14:formula1>
            <xm:f>Parameters!$D$10:$H$10</xm:f>
          </x14:formula1>
          <xm:sqref>G14</xm:sqref>
        </x14:dataValidation>
        <x14:dataValidation type="list" allowBlank="1" showInputMessage="1">
          <x14:formula1>
            <xm:f>Parameters!$D$56:$H$56</xm:f>
          </x14:formula1>
          <xm:sqref>D14</xm:sqref>
        </x14:dataValidation>
        <x14:dataValidation type="list" allowBlank="1" showInputMessage="1">
          <x14:formula1>
            <xm:f>Parameters!$D$55:$H$55</xm:f>
          </x14:formula1>
          <xm:sqref>D11</xm:sqref>
        </x14:dataValidation>
        <x14:dataValidation type="list" allowBlank="1" showInputMessage="1">
          <x14:formula1>
            <xm:f>Parameters!$D$54:$H$54</xm:f>
          </x14:formula1>
          <xm:sqref>D10</xm:sqref>
        </x14:dataValidation>
        <x14:dataValidation type="list" allowBlank="1" showInputMessage="1">
          <x14:formula1>
            <xm:f>Parameters!$D$57:$H$57</xm:f>
          </x14:formula1>
          <xm:sqref>D16:D17</xm:sqref>
        </x14:dataValidation>
        <x14:dataValidation type="list" allowBlank="1" showInputMessage="1">
          <x14:formula1>
            <xm:f>Parameters!$D$33:$H$33</xm:f>
          </x14:formula1>
          <xm:sqref>G11</xm:sqref>
        </x14:dataValidation>
        <x14:dataValidation type="list" allowBlank="1" showInputMessage="1">
          <x14:formula1>
            <xm:f>Parameters!$D$6:$H$6</xm:f>
          </x14:formula1>
          <xm:sqref>G13</xm:sqref>
        </x14:dataValidation>
        <x14:dataValidation type="list" allowBlank="1" showInputMessage="1">
          <x14:formula1>
            <xm:f>Parameters!$D$51:$H$51</xm:f>
          </x14:formula1>
          <xm:sqref>M18</xm:sqref>
        </x14:dataValidation>
      </x14:dataValidations>
    </ext>
  </extLst>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B119"/>
  <sheetViews>
    <sheetView workbookViewId="0"/>
  </sheetViews>
  <sheetFormatPr baseColWidth="10" defaultColWidth="8.83203125" defaultRowHeight="11" x14ac:dyDescent="0.15"/>
  <cols>
    <col min="1" max="1" width="1.5" style="233" customWidth="1"/>
    <col min="2" max="2" width="9.5" style="233" customWidth="1"/>
    <col min="3" max="3" width="14.5" style="233" customWidth="1"/>
    <col min="4" max="4" width="5.83203125" style="233" customWidth="1"/>
    <col min="5" max="5" width="1.83203125" style="233" customWidth="1"/>
    <col min="6" max="6" width="21.5" style="233" customWidth="1"/>
    <col min="7" max="7" width="13.5" style="233" customWidth="1"/>
    <col min="8" max="8" width="1.5" style="233" customWidth="1"/>
    <col min="9" max="9" width="16.5" style="233" customWidth="1"/>
    <col min="10" max="10" width="8.5" style="233" customWidth="1"/>
    <col min="11" max="11" width="1.5" style="233" customWidth="1"/>
    <col min="12" max="12" width="22.83203125" style="233" customWidth="1"/>
    <col min="13" max="13" width="8.5" style="233" customWidth="1"/>
    <col min="14" max="14" width="0.83203125" style="233" customWidth="1"/>
    <col min="15" max="15" width="2.83203125" style="233" customWidth="1"/>
    <col min="16" max="16" width="2.5" style="233" customWidth="1"/>
    <col min="17" max="17" width="15.5" style="233" customWidth="1"/>
    <col min="18" max="18" width="30.83203125" style="233" customWidth="1"/>
    <col min="19" max="19" width="23.5" style="233" customWidth="1"/>
    <col min="20" max="20" width="1" style="233" customWidth="1"/>
    <col min="21" max="21" width="24.5" style="233" customWidth="1"/>
    <col min="22" max="23" width="12.5" style="233" customWidth="1"/>
    <col min="24" max="24" width="12.5" style="246" customWidth="1"/>
    <col min="25" max="25" width="13.5" style="233" customWidth="1"/>
    <col min="26" max="26" width="14.1640625" style="233" customWidth="1"/>
    <col min="27" max="28" width="11.5" style="233" customWidth="1"/>
    <col min="29" max="29" width="2.5" style="233" customWidth="1"/>
    <col min="30" max="30" width="28.5" style="233" customWidth="1"/>
    <col min="31" max="31" width="14.5" style="233" bestFit="1" customWidth="1"/>
    <col min="32" max="16384" width="8.83203125" style="233"/>
  </cols>
  <sheetData>
    <row r="1" spans="1:54" ht="6" customHeight="1" thickBot="1" x14ac:dyDescent="0.35">
      <c r="A1" s="274"/>
      <c r="B1" s="246"/>
      <c r="C1" s="246"/>
      <c r="D1" s="246"/>
      <c r="E1" s="246"/>
      <c r="F1" s="246"/>
      <c r="G1" s="246"/>
      <c r="H1" s="246"/>
      <c r="I1" s="246"/>
      <c r="J1" s="246"/>
      <c r="K1" s="246"/>
      <c r="L1" s="246"/>
      <c r="M1" s="246"/>
      <c r="N1" s="246"/>
      <c r="O1" s="246"/>
      <c r="P1" s="246"/>
      <c r="Q1" s="246"/>
      <c r="R1" s="254"/>
      <c r="S1" s="246"/>
      <c r="T1" s="246"/>
      <c r="U1" s="246"/>
      <c r="V1" s="246"/>
      <c r="W1" s="246"/>
      <c r="Y1" s="246"/>
      <c r="Z1" s="246"/>
      <c r="AA1" s="246"/>
      <c r="AB1" s="246"/>
      <c r="AC1" s="246"/>
      <c r="AD1" s="246"/>
      <c r="AE1" s="246"/>
      <c r="AF1" s="246"/>
      <c r="AG1" s="246"/>
      <c r="AH1" s="246"/>
      <c r="AI1" s="246"/>
      <c r="AJ1" s="246"/>
      <c r="AK1" s="246"/>
      <c r="AL1" s="246"/>
      <c r="AM1" s="246"/>
      <c r="AN1" s="246"/>
      <c r="AO1" s="246"/>
      <c r="AP1" s="246"/>
      <c r="AQ1" s="246"/>
    </row>
    <row r="2" spans="1:54" ht="15" customHeight="1" x14ac:dyDescent="0.25">
      <c r="A2" s="246"/>
      <c r="B2" s="246"/>
      <c r="C2" s="334"/>
      <c r="D2" s="249"/>
      <c r="E2" s="249"/>
      <c r="F2" s="246"/>
      <c r="G2" s="246"/>
      <c r="H2" s="246"/>
      <c r="I2" s="246"/>
      <c r="J2" s="246"/>
      <c r="K2" s="274"/>
      <c r="L2" s="386"/>
      <c r="M2" s="274"/>
      <c r="N2" s="246"/>
      <c r="O2" s="246"/>
      <c r="P2" s="246"/>
      <c r="Q2" s="246"/>
      <c r="S2" s="553" t="s">
        <v>409</v>
      </c>
      <c r="T2" s="554"/>
      <c r="U2" s="333"/>
      <c r="V2" s="333"/>
      <c r="W2" s="333"/>
      <c r="X2" s="333"/>
      <c r="Y2" s="246"/>
      <c r="Z2" s="557" t="s">
        <v>290</v>
      </c>
      <c r="AA2" s="558"/>
      <c r="AB2" s="559"/>
      <c r="AC2" s="246"/>
      <c r="AD2" s="246"/>
      <c r="AE2" s="246"/>
      <c r="AF2" s="246"/>
      <c r="AG2" s="246"/>
      <c r="AH2" s="246"/>
      <c r="AI2" s="246"/>
      <c r="AJ2" s="246"/>
      <c r="AK2" s="246"/>
      <c r="AL2" s="246"/>
      <c r="AM2" s="246"/>
      <c r="AN2" s="246"/>
      <c r="AO2" s="246"/>
      <c r="AP2" s="246"/>
      <c r="AQ2" s="246"/>
      <c r="AS2" s="232" t="s">
        <v>477</v>
      </c>
      <c r="AT2" s="232" t="s">
        <v>478</v>
      </c>
      <c r="AU2" s="232" t="s">
        <v>479</v>
      </c>
      <c r="AV2" s="232" t="s">
        <v>480</v>
      </c>
      <c r="AW2" s="232" t="s">
        <v>481</v>
      </c>
      <c r="AX2" s="232" t="s">
        <v>482</v>
      </c>
      <c r="AY2" s="232" t="s">
        <v>483</v>
      </c>
      <c r="AZ2" s="232" t="s">
        <v>432</v>
      </c>
      <c r="BA2" s="232" t="s">
        <v>485</v>
      </c>
    </row>
    <row r="3" spans="1:54" ht="19.5" customHeight="1" thickBot="1" x14ac:dyDescent="0.3">
      <c r="A3" s="246"/>
      <c r="B3" s="334"/>
      <c r="C3" s="334"/>
      <c r="D3" s="249"/>
      <c r="E3" s="249"/>
      <c r="F3" s="246"/>
      <c r="G3" s="246"/>
      <c r="H3" s="246"/>
      <c r="I3" s="246"/>
      <c r="J3" s="246"/>
      <c r="K3" s="274"/>
      <c r="L3" s="274"/>
      <c r="M3" s="274"/>
      <c r="N3" s="246"/>
      <c r="O3" s="246"/>
      <c r="P3" s="246"/>
      <c r="Q3" s="246"/>
      <c r="R3" s="333"/>
      <c r="S3" s="555"/>
      <c r="T3" s="556"/>
      <c r="U3" s="333"/>
      <c r="V3" s="333"/>
      <c r="W3" s="333"/>
      <c r="X3" s="333"/>
      <c r="Y3" s="246"/>
      <c r="Z3" s="560"/>
      <c r="AA3" s="561"/>
      <c r="AB3" s="562"/>
      <c r="AC3" s="246"/>
      <c r="AD3" s="246"/>
      <c r="AE3" s="246"/>
      <c r="AF3" s="246"/>
      <c r="AG3" s="246"/>
      <c r="AH3" s="246"/>
      <c r="AI3" s="246"/>
      <c r="AJ3" s="246"/>
      <c r="AK3" s="246"/>
      <c r="AL3" s="246"/>
      <c r="AM3" s="246"/>
      <c r="AN3" s="246"/>
      <c r="AO3" s="246"/>
      <c r="AP3" s="246"/>
      <c r="AQ3" s="246"/>
      <c r="AS3" s="232"/>
      <c r="AT3" s="232"/>
      <c r="AU3" s="232"/>
      <c r="AV3" s="232"/>
      <c r="AW3" s="232"/>
      <c r="AX3" s="232"/>
      <c r="AY3" s="232"/>
      <c r="AZ3" s="232"/>
      <c r="BA3" s="232"/>
    </row>
    <row r="4" spans="1:54" ht="40.75" customHeight="1" x14ac:dyDescent="0.2">
      <c r="A4" s="246"/>
      <c r="B4" s="563" t="s">
        <v>365</v>
      </c>
      <c r="C4" s="563"/>
      <c r="D4" s="563"/>
      <c r="E4" s="336"/>
      <c r="F4" s="565" t="s">
        <v>408</v>
      </c>
      <c r="G4" s="566"/>
      <c r="H4" s="249"/>
      <c r="I4" s="246"/>
      <c r="J4" s="246"/>
      <c r="K4" s="246"/>
      <c r="L4" s="246"/>
      <c r="M4" s="246"/>
      <c r="N4" s="277"/>
      <c r="O4" s="277"/>
      <c r="P4" s="277"/>
      <c r="Q4" s="332"/>
      <c r="R4" s="457" t="s">
        <v>393</v>
      </c>
      <c r="S4" s="457" t="s">
        <v>245</v>
      </c>
      <c r="T4" s="569" t="s">
        <v>244</v>
      </c>
      <c r="U4" s="569"/>
      <c r="V4" s="569" t="s">
        <v>395</v>
      </c>
      <c r="W4" s="570"/>
      <c r="X4" s="238"/>
      <c r="Y4" s="246"/>
      <c r="Z4" s="369" t="s">
        <v>291</v>
      </c>
      <c r="AA4" s="370"/>
      <c r="AB4" s="371"/>
      <c r="AC4" s="242"/>
      <c r="AD4" s="372" t="s">
        <v>292</v>
      </c>
      <c r="AE4" s="373"/>
      <c r="AF4" s="246"/>
      <c r="AG4" s="246"/>
      <c r="AH4" s="246"/>
      <c r="AI4" s="246"/>
      <c r="AJ4" s="246"/>
      <c r="AK4" s="246"/>
      <c r="AL4" s="246"/>
      <c r="AM4" s="246"/>
      <c r="AN4" s="246"/>
      <c r="AO4" s="246"/>
      <c r="AP4" s="246"/>
      <c r="AQ4" s="246"/>
      <c r="AS4" s="232">
        <v>0</v>
      </c>
      <c r="AT4" s="278">
        <f>Q37</f>
        <v>212.7659574468085</v>
      </c>
      <c r="AU4" s="278">
        <f>(1-$D$11)*AT4</f>
        <v>106.38297872340425</v>
      </c>
      <c r="AV4" s="278"/>
      <c r="AW4" s="232"/>
      <c r="AX4" s="232">
        <f>IF(ISNUMBER(AS5),SUM(AU4:AV4),SUM(AU4:AW4))</f>
        <v>106.38297872340425</v>
      </c>
      <c r="AY4" s="279">
        <f t="shared" ref="AY4:AY30" si="0">LN(AX4+$J$37)-LN($J$37)</f>
        <v>0.31632022465180309</v>
      </c>
      <c r="AZ4" s="232">
        <f>IF(ISNUMBER(AS4),AY4/(1+$D$7)^AS4,0)</f>
        <v>0.31632022465180309</v>
      </c>
      <c r="BA4" s="232"/>
    </row>
    <row r="5" spans="1:54" ht="10.75" customHeight="1" thickBot="1" x14ac:dyDescent="0.25">
      <c r="A5" s="246"/>
      <c r="B5" s="564"/>
      <c r="C5" s="564"/>
      <c r="D5" s="564"/>
      <c r="E5" s="335"/>
      <c r="F5" s="567"/>
      <c r="G5" s="568"/>
      <c r="H5" s="256"/>
      <c r="I5" s="256"/>
      <c r="J5" s="246"/>
      <c r="K5" s="246"/>
      <c r="L5" s="246"/>
      <c r="M5" s="246"/>
      <c r="N5" s="246"/>
      <c r="O5" s="246"/>
      <c r="P5" s="246"/>
      <c r="Q5" s="459" t="s">
        <v>411</v>
      </c>
      <c r="R5" s="458">
        <f>D37/(1+D7)^10</f>
        <v>0.16514266520246426</v>
      </c>
      <c r="S5" s="458">
        <f>R5*(1-1/(1+D7)^G16)/(1-1/(1+D7))</f>
        <v>2.9753821155847677</v>
      </c>
      <c r="T5" s="582">
        <f>S5*G11*G7*G9*G18*G8/G37</f>
        <v>9.6999442557287999E-2</v>
      </c>
      <c r="U5" s="582"/>
      <c r="V5" s="572">
        <f>$G$14*$G$10</f>
        <v>5.7226585E-3</v>
      </c>
      <c r="W5" s="573"/>
      <c r="X5" s="238"/>
      <c r="Y5" s="246"/>
      <c r="Z5" s="357" t="s">
        <v>121</v>
      </c>
      <c r="AA5" s="358"/>
      <c r="AB5" s="359"/>
      <c r="AC5" s="247"/>
      <c r="AD5" s="238"/>
      <c r="AE5" s="244"/>
      <c r="AF5" s="246"/>
      <c r="AG5" s="246"/>
      <c r="AH5" s="246"/>
      <c r="AI5" s="246"/>
      <c r="AJ5" s="246"/>
      <c r="AK5" s="246"/>
      <c r="AL5" s="246"/>
      <c r="AM5" s="246"/>
      <c r="AN5" s="246"/>
      <c r="AO5" s="246"/>
      <c r="AP5" s="246"/>
      <c r="AQ5" s="246"/>
      <c r="AS5" s="232">
        <f t="shared" ref="AS5:AS68" si="1">IF(AS4&lt;$D$14,AS4+1,"")</f>
        <v>1</v>
      </c>
      <c r="AT5" s="278">
        <f>AT4-AU4</f>
        <v>106.38297872340425</v>
      </c>
      <c r="AU5" s="278"/>
      <c r="AV5" s="278">
        <f t="shared" ref="AV5:AV71" si="2">$D$10*AT5</f>
        <v>20.212765957446809</v>
      </c>
      <c r="AW5" s="278">
        <f>AT5</f>
        <v>106.38297872340425</v>
      </c>
      <c r="AX5" s="232">
        <f t="shared" ref="AX5:AX14" si="3">IF(ISNUMBER(AS6),SUM(AU5:AV5),SUM(AU5:AW5))</f>
        <v>20.212765957446809</v>
      </c>
      <c r="AY5" s="279">
        <f t="shared" si="0"/>
        <v>6.8306303745020891E-2</v>
      </c>
      <c r="AZ5" s="232">
        <f t="shared" ref="AZ5:AZ71" si="4">IF(ISNUMBER(AS5),AY5/(1+$D$7)^AS5,0)</f>
        <v>6.5053622614305612E-2</v>
      </c>
      <c r="BA5" s="232">
        <f>SUM(AZ5:AZ114)</f>
        <v>0.96365615609067312</v>
      </c>
      <c r="BB5" s="233">
        <f>SUM(AZ5:AZ23)</f>
        <v>0.82550359749644986</v>
      </c>
    </row>
    <row r="6" spans="1:54" ht="15" customHeight="1" x14ac:dyDescent="0.2">
      <c r="A6" s="246"/>
      <c r="B6" s="242"/>
      <c r="C6" s="587" t="s">
        <v>540</v>
      </c>
      <c r="D6" s="587"/>
      <c r="E6" s="271"/>
      <c r="F6" s="350" t="s">
        <v>541</v>
      </c>
      <c r="G6" s="351"/>
      <c r="H6" s="272"/>
      <c r="I6" s="587" t="s">
        <v>567</v>
      </c>
      <c r="J6" s="587"/>
      <c r="K6" s="272"/>
      <c r="L6" s="588" t="s">
        <v>390</v>
      </c>
      <c r="M6" s="588"/>
      <c r="N6" s="243"/>
      <c r="O6" s="238"/>
      <c r="P6" s="246"/>
      <c r="Q6" s="459" t="s">
        <v>412</v>
      </c>
      <c r="R6" s="458">
        <f>(M15*M11)/(1+D7)^10</f>
        <v>1.7680701701973868E-2</v>
      </c>
      <c r="S6" s="458">
        <f>R6*(1-1/(1+D7)^G16)/(1-1/(1+D7))</f>
        <v>0.31855392166855506</v>
      </c>
      <c r="T6" s="582">
        <f>S6*M8*M9*M14*(W37/V37)*G11</f>
        <v>8.3192540750245542E-3</v>
      </c>
      <c r="U6" s="582"/>
      <c r="V6" s="572">
        <v>0</v>
      </c>
      <c r="W6" s="589"/>
      <c r="X6" s="238"/>
      <c r="Y6" s="246"/>
      <c r="Z6" s="360" t="s">
        <v>570</v>
      </c>
      <c r="AA6" s="361"/>
      <c r="AB6" s="362">
        <f>$G$7*$G$8*$G$9*G$18*$J7</f>
        <v>1.3810770562770559E-2</v>
      </c>
      <c r="AC6" s="247"/>
      <c r="AD6" s="590" t="s">
        <v>123</v>
      </c>
      <c r="AE6" s="574">
        <f>G10</f>
        <v>3.25</v>
      </c>
      <c r="AF6" s="246"/>
      <c r="AG6" s="246"/>
      <c r="AH6" s="246"/>
      <c r="AI6" s="246"/>
      <c r="AJ6" s="246"/>
      <c r="AK6" s="246"/>
      <c r="AL6" s="246"/>
      <c r="AM6" s="246"/>
      <c r="AN6" s="246"/>
      <c r="AO6" s="246"/>
      <c r="AP6" s="246"/>
      <c r="AQ6" s="246"/>
      <c r="AS6" s="232">
        <f t="shared" si="1"/>
        <v>2</v>
      </c>
      <c r="AT6" s="278">
        <f t="shared" ref="AT6:AT72" si="5">IF(ISNUMBER(AS6),AW5,0)</f>
        <v>106.38297872340425</v>
      </c>
      <c r="AU6" s="278"/>
      <c r="AV6" s="278">
        <f t="shared" si="2"/>
        <v>20.212765957446809</v>
      </c>
      <c r="AW6" s="278">
        <f t="shared" ref="AW6:AW72" si="6">AT6</f>
        <v>106.38297872340425</v>
      </c>
      <c r="AX6" s="232">
        <f t="shared" si="3"/>
        <v>20.212765957446809</v>
      </c>
      <c r="AY6" s="279">
        <f t="shared" si="0"/>
        <v>6.8306303745020891E-2</v>
      </c>
      <c r="AZ6" s="232">
        <f t="shared" si="4"/>
        <v>6.1955831061243437E-2</v>
      </c>
      <c r="BA6" s="232"/>
    </row>
    <row r="7" spans="1:54" ht="20.5" customHeight="1" x14ac:dyDescent="0.2">
      <c r="A7" s="246"/>
      <c r="B7" s="576" t="s">
        <v>573</v>
      </c>
      <c r="C7" s="301" t="s">
        <v>528</v>
      </c>
      <c r="D7" s="139">
        <v>0.05</v>
      </c>
      <c r="E7" s="234"/>
      <c r="F7" s="321" t="s">
        <v>532</v>
      </c>
      <c r="G7" s="338">
        <v>0.30254930254930251</v>
      </c>
      <c r="H7" s="236"/>
      <c r="I7" s="321" t="s">
        <v>536</v>
      </c>
      <c r="J7" s="381">
        <v>0.25359999999999999</v>
      </c>
      <c r="K7" s="314"/>
      <c r="L7" s="321" t="s">
        <v>397</v>
      </c>
      <c r="M7" s="324">
        <v>7.4999999999999997E-2</v>
      </c>
      <c r="N7" s="244"/>
      <c r="O7" s="238"/>
      <c r="P7" s="246"/>
      <c r="Q7" s="247"/>
      <c r="R7" s="238"/>
      <c r="S7" s="238"/>
      <c r="T7" s="238"/>
      <c r="U7" s="318"/>
      <c r="V7" s="238"/>
      <c r="W7" s="244"/>
      <c r="X7" s="238"/>
      <c r="Y7" s="246"/>
      <c r="Z7" s="360" t="s">
        <v>560</v>
      </c>
      <c r="AA7" s="361"/>
      <c r="AB7" s="362">
        <f>$G$7*$G$8*$G$9*G$18*$J8</f>
        <v>1.0112541461746187E-2</v>
      </c>
      <c r="AC7" s="247"/>
      <c r="AD7" s="591"/>
      <c r="AE7" s="575"/>
      <c r="AF7" s="246"/>
      <c r="AG7" s="246"/>
      <c r="AH7" s="246"/>
      <c r="AI7" s="246"/>
      <c r="AJ7" s="246"/>
      <c r="AK7" s="246"/>
      <c r="AL7" s="246"/>
      <c r="AM7" s="246"/>
      <c r="AN7" s="246"/>
      <c r="AO7" s="246"/>
      <c r="AP7" s="246"/>
      <c r="AQ7" s="246"/>
      <c r="AS7" s="232">
        <f t="shared" si="1"/>
        <v>3</v>
      </c>
      <c r="AT7" s="278">
        <f>IF(ISNUMBER(AS7),AW6,0)</f>
        <v>106.38297872340425</v>
      </c>
      <c r="AU7" s="278"/>
      <c r="AV7" s="278">
        <f t="shared" si="2"/>
        <v>20.212765957446809</v>
      </c>
      <c r="AW7" s="278">
        <f t="shared" si="6"/>
        <v>106.38297872340425</v>
      </c>
      <c r="AX7" s="232">
        <f t="shared" si="3"/>
        <v>20.212765957446809</v>
      </c>
      <c r="AY7" s="279">
        <f t="shared" si="0"/>
        <v>6.8306303745020891E-2</v>
      </c>
      <c r="AZ7" s="232">
        <f t="shared" si="4"/>
        <v>5.9005553391660408E-2</v>
      </c>
      <c r="BA7" s="232"/>
    </row>
    <row r="8" spans="1:54" ht="25" customHeight="1" thickBot="1" x14ac:dyDescent="0.25">
      <c r="A8" s="246"/>
      <c r="B8" s="576"/>
      <c r="C8" s="294"/>
      <c r="D8" s="294"/>
      <c r="E8" s="273"/>
      <c r="F8" s="323" t="s">
        <v>534</v>
      </c>
      <c r="G8" s="245">
        <v>0.6</v>
      </c>
      <c r="H8" s="237"/>
      <c r="I8" s="312" t="s">
        <v>537</v>
      </c>
      <c r="J8" s="379">
        <v>0.18569134162665896</v>
      </c>
      <c r="K8" s="315"/>
      <c r="L8" s="312" t="s">
        <v>391</v>
      </c>
      <c r="M8" s="313">
        <v>0.9</v>
      </c>
      <c r="N8" s="244"/>
      <c r="O8" s="238"/>
      <c r="P8" s="246"/>
      <c r="Q8" s="577" t="s">
        <v>413</v>
      </c>
      <c r="R8" s="238"/>
      <c r="S8" s="460" t="s">
        <v>246</v>
      </c>
      <c r="T8" s="578" t="s">
        <v>562</v>
      </c>
      <c r="U8" s="578"/>
      <c r="V8" s="578" t="s">
        <v>446</v>
      </c>
      <c r="W8" s="662"/>
      <c r="X8" s="238"/>
      <c r="Y8" s="246"/>
      <c r="Z8" s="360" t="s">
        <v>566</v>
      </c>
      <c r="AA8" s="361"/>
      <c r="AB8" s="362">
        <f>$G$7*$G$8*$G$9*G$18/M18</f>
        <v>5.445887445887445E-2</v>
      </c>
      <c r="AC8" s="374"/>
      <c r="AD8" s="375" t="s">
        <v>124</v>
      </c>
      <c r="AE8" s="376">
        <f>(AE6*U37)/S5</f>
        <v>39.896136156168986</v>
      </c>
      <c r="AF8" s="246"/>
      <c r="AG8" s="246"/>
      <c r="AH8" s="246"/>
      <c r="AI8" s="246"/>
      <c r="AJ8" s="246"/>
      <c r="AK8" s="246"/>
      <c r="AL8" s="246"/>
      <c r="AM8" s="246"/>
      <c r="AN8" s="246"/>
      <c r="AO8" s="246"/>
      <c r="AP8" s="246"/>
      <c r="AQ8" s="246"/>
      <c r="AS8" s="232">
        <f t="shared" si="1"/>
        <v>4</v>
      </c>
      <c r="AT8" s="278">
        <f t="shared" si="5"/>
        <v>106.38297872340425</v>
      </c>
      <c r="AU8" s="278"/>
      <c r="AV8" s="278">
        <f t="shared" si="2"/>
        <v>20.212765957446809</v>
      </c>
      <c r="AW8" s="278">
        <f t="shared" si="6"/>
        <v>106.38297872340425</v>
      </c>
      <c r="AX8" s="232">
        <f t="shared" si="3"/>
        <v>20.212765957446809</v>
      </c>
      <c r="AY8" s="279">
        <f t="shared" si="0"/>
        <v>6.8306303745020891E-2</v>
      </c>
      <c r="AZ8" s="232">
        <f t="shared" si="4"/>
        <v>5.6195765134914685E-2</v>
      </c>
      <c r="BA8" s="232"/>
    </row>
    <row r="9" spans="1:54" ht="33" x14ac:dyDescent="0.2">
      <c r="A9" s="246"/>
      <c r="B9" s="576"/>
      <c r="C9" s="581" t="s">
        <v>542</v>
      </c>
      <c r="D9" s="581"/>
      <c r="E9" s="234"/>
      <c r="F9" s="312" t="s">
        <v>440</v>
      </c>
      <c r="G9" s="313">
        <v>1</v>
      </c>
      <c r="H9" s="237"/>
      <c r="I9" s="312" t="s">
        <v>386</v>
      </c>
      <c r="J9" s="379">
        <v>1.35</v>
      </c>
      <c r="K9" s="315"/>
      <c r="L9" s="312" t="s">
        <v>392</v>
      </c>
      <c r="M9" s="313">
        <v>0.7</v>
      </c>
      <c r="N9" s="244"/>
      <c r="O9" s="238"/>
      <c r="P9" s="246"/>
      <c r="Q9" s="577"/>
      <c r="R9" s="253" t="s">
        <v>572</v>
      </c>
      <c r="S9" s="468">
        <f>J11*($T$5*AB13*J14*J7+$V$5*(J7*$G$13))</f>
        <v>2.0058750117658741E-2</v>
      </c>
      <c r="T9" s="582">
        <f>S9/(J16/J9)</f>
        <v>5.3096691487920199E-2</v>
      </c>
      <c r="U9" s="582"/>
      <c r="V9" s="663">
        <f>($G$10*$U$37)/T9</f>
        <v>2235.6618966928731</v>
      </c>
      <c r="W9" s="664"/>
      <c r="X9" s="238"/>
      <c r="Y9" s="387"/>
      <c r="Z9" s="585" t="s">
        <v>288</v>
      </c>
      <c r="AA9" s="586"/>
      <c r="AB9" s="411">
        <v>0.05</v>
      </c>
      <c r="AC9" s="246"/>
      <c r="AD9" s="246"/>
      <c r="AE9" s="388"/>
      <c r="AF9" s="246"/>
      <c r="AG9" s="246"/>
      <c r="AH9" s="246"/>
      <c r="AI9" s="246"/>
      <c r="AJ9" s="246"/>
      <c r="AK9" s="246"/>
      <c r="AL9" s="246"/>
      <c r="AM9" s="246"/>
      <c r="AN9" s="246"/>
      <c r="AO9" s="246"/>
      <c r="AP9" s="246"/>
      <c r="AQ9" s="246"/>
      <c r="AS9" s="232">
        <f t="shared" si="1"/>
        <v>5</v>
      </c>
      <c r="AT9" s="278">
        <f t="shared" si="5"/>
        <v>106.38297872340425</v>
      </c>
      <c r="AU9" s="278"/>
      <c r="AV9" s="278">
        <f t="shared" si="2"/>
        <v>20.212765957446809</v>
      </c>
      <c r="AW9" s="278">
        <f t="shared" si="6"/>
        <v>106.38297872340425</v>
      </c>
      <c r="AX9" s="232">
        <f>IF(ISNUMBER(AS10),SUM(AU9:AV9),SUM(AU9:AW9))</f>
        <v>20.212765957446809</v>
      </c>
      <c r="AY9" s="279">
        <f t="shared" si="0"/>
        <v>6.8306303745020891E-2</v>
      </c>
      <c r="AZ9" s="232">
        <f t="shared" si="4"/>
        <v>5.3519776318966358E-2</v>
      </c>
      <c r="BA9" s="232"/>
    </row>
    <row r="10" spans="1:54" ht="39.75" customHeight="1" x14ac:dyDescent="0.2">
      <c r="A10" s="246"/>
      <c r="B10" s="576"/>
      <c r="C10" s="291" t="s">
        <v>531</v>
      </c>
      <c r="D10" s="292">
        <v>0.19</v>
      </c>
      <c r="E10" s="284"/>
      <c r="F10" s="312" t="s">
        <v>231</v>
      </c>
      <c r="G10" s="503">
        <v>3.25</v>
      </c>
      <c r="H10" s="285"/>
      <c r="I10" s="312" t="s">
        <v>387</v>
      </c>
      <c r="J10" s="379">
        <v>1</v>
      </c>
      <c r="K10" s="315"/>
      <c r="L10" s="312" t="s">
        <v>406</v>
      </c>
      <c r="M10" s="313">
        <v>1</v>
      </c>
      <c r="N10" s="244"/>
      <c r="O10" s="238"/>
      <c r="P10" s="246"/>
      <c r="Q10" s="577"/>
      <c r="R10" s="253" t="s">
        <v>14</v>
      </c>
      <c r="S10" s="468">
        <f>J18*($T$5*AB14*J15*J8+$V$5*(J8*$G$13))</f>
        <v>1.4571615603661839E-2</v>
      </c>
      <c r="T10" s="582">
        <f>S10/(J17/J10)</f>
        <v>2.7535176877667874E-2</v>
      </c>
      <c r="U10" s="582"/>
      <c r="V10" s="663">
        <f>($G$10*$U$37)/T10</f>
        <v>4311.0763561600907</v>
      </c>
      <c r="W10" s="664"/>
      <c r="X10" s="238"/>
      <c r="Y10" s="246"/>
      <c r="Z10" s="592" t="s">
        <v>289</v>
      </c>
      <c r="AA10" s="593"/>
      <c r="AB10" s="377" t="s">
        <v>287</v>
      </c>
      <c r="AC10" s="246"/>
      <c r="AD10" s="387"/>
      <c r="AE10" s="388"/>
      <c r="AF10" s="246"/>
      <c r="AG10" s="246"/>
      <c r="AH10" s="246"/>
      <c r="AI10" s="246"/>
      <c r="AJ10" s="246"/>
      <c r="AK10" s="246"/>
      <c r="AL10" s="246"/>
      <c r="AM10" s="246"/>
      <c r="AN10" s="246"/>
      <c r="AO10" s="246"/>
      <c r="AP10" s="246"/>
      <c r="AQ10" s="246"/>
      <c r="AS10" s="232">
        <f t="shared" si="1"/>
        <v>6</v>
      </c>
      <c r="AT10" s="278">
        <f>IF(ISNUMBER(AS10),AW9,0)</f>
        <v>106.38297872340425</v>
      </c>
      <c r="AU10" s="278"/>
      <c r="AV10" s="278">
        <f t="shared" si="2"/>
        <v>20.212765957446809</v>
      </c>
      <c r="AW10" s="278">
        <f t="shared" si="6"/>
        <v>106.38297872340425</v>
      </c>
      <c r="AX10" s="232">
        <f>IF(ISNUMBER(AS11),SUM(AU10:AV10),SUM(AU10:AW10))</f>
        <v>20.212765957446809</v>
      </c>
      <c r="AY10" s="279">
        <f t="shared" si="0"/>
        <v>6.8306303745020891E-2</v>
      </c>
      <c r="AZ10" s="232">
        <f t="shared" si="4"/>
        <v>5.0971215541872728E-2</v>
      </c>
      <c r="BA10" s="232"/>
    </row>
    <row r="11" spans="1:54" ht="33" customHeight="1" x14ac:dyDescent="0.2">
      <c r="A11" s="246"/>
      <c r="B11" s="576"/>
      <c r="C11" s="298" t="s">
        <v>533</v>
      </c>
      <c r="D11" s="299">
        <v>0.5</v>
      </c>
      <c r="E11" s="235"/>
      <c r="F11" s="312" t="s">
        <v>241</v>
      </c>
      <c r="G11" s="503">
        <v>1.4426961458207845</v>
      </c>
      <c r="H11" s="238"/>
      <c r="I11" s="312" t="s">
        <v>230</v>
      </c>
      <c r="J11" s="379">
        <v>0.77</v>
      </c>
      <c r="K11" s="315"/>
      <c r="L11" s="312" t="s">
        <v>405</v>
      </c>
      <c r="M11" s="313">
        <v>0.8</v>
      </c>
      <c r="N11" s="244"/>
      <c r="O11" s="246"/>
      <c r="P11" s="246"/>
      <c r="Q11" s="577"/>
      <c r="R11" s="253" t="s">
        <v>566</v>
      </c>
      <c r="S11" s="468" t="s">
        <v>120</v>
      </c>
      <c r="T11" s="582">
        <f>(1/S37)*(1/M18)*T5*AB15+(1/R37)*U37*G10</f>
        <v>6.8684002660277854E-2</v>
      </c>
      <c r="U11" s="582">
        <f>(1/S37)*(1/M18)*T5+1/R37*(G10*S5)</f>
        <v>3.026745848908299E-2</v>
      </c>
      <c r="V11" s="663">
        <f>($G$10*$U$37)/T11</f>
        <v>1728.2954604020422</v>
      </c>
      <c r="W11" s="664"/>
      <c r="X11" s="238"/>
      <c r="Y11" s="246"/>
      <c r="Z11" s="247"/>
      <c r="AA11" s="238"/>
      <c r="AB11" s="244"/>
      <c r="AC11" s="246"/>
      <c r="AD11" s="246"/>
      <c r="AE11" s="246"/>
      <c r="AF11" s="246"/>
      <c r="AG11" s="246"/>
      <c r="AH11" s="246"/>
      <c r="AI11" s="246"/>
      <c r="AJ11" s="246"/>
      <c r="AK11" s="246"/>
      <c r="AL11" s="246"/>
      <c r="AM11" s="246"/>
      <c r="AN11" s="246"/>
      <c r="AO11" s="246"/>
      <c r="AP11" s="246"/>
      <c r="AQ11" s="246"/>
      <c r="AS11" s="232">
        <f t="shared" si="1"/>
        <v>7</v>
      </c>
      <c r="AT11" s="278">
        <f>IF(ISNUMBER(AS11),AW10,0)</f>
        <v>106.38297872340425</v>
      </c>
      <c r="AU11" s="278"/>
      <c r="AV11" s="278">
        <f t="shared" si="2"/>
        <v>20.212765957446809</v>
      </c>
      <c r="AW11" s="278">
        <f t="shared" si="6"/>
        <v>106.38297872340425</v>
      </c>
      <c r="AX11" s="232">
        <f>IF(ISNUMBER(AS12),SUM(AU11:AV11),SUM(AU11:AW11))</f>
        <v>20.212765957446809</v>
      </c>
      <c r="AY11" s="279">
        <f t="shared" si="0"/>
        <v>6.8306303745020891E-2</v>
      </c>
      <c r="AZ11" s="232">
        <f t="shared" si="4"/>
        <v>4.8544014801783546E-2</v>
      </c>
      <c r="BA11" s="232"/>
    </row>
    <row r="12" spans="1:54" ht="22.75" customHeight="1" thickBot="1" x14ac:dyDescent="0.25">
      <c r="A12" s="246"/>
      <c r="B12" s="247"/>
      <c r="C12" s="241"/>
      <c r="D12" s="240"/>
      <c r="E12" s="234"/>
      <c r="F12" s="390"/>
      <c r="G12" s="391"/>
      <c r="H12" s="241"/>
      <c r="I12" s="241"/>
      <c r="J12" s="380"/>
      <c r="K12" s="238"/>
      <c r="L12" s="312" t="s">
        <v>399</v>
      </c>
      <c r="M12" s="313">
        <v>0.66</v>
      </c>
      <c r="N12" s="244"/>
      <c r="O12" s="238"/>
      <c r="P12" s="246"/>
      <c r="Q12" s="293"/>
      <c r="R12" s="253" t="s">
        <v>396</v>
      </c>
      <c r="S12" s="468">
        <f>T6*M12</f>
        <v>5.4907076895162063E-3</v>
      </c>
      <c r="T12" s="582">
        <f>M13*S12/(M7/M10)</f>
        <v>3.6604717930108041E-2</v>
      </c>
      <c r="U12" s="582"/>
      <c r="V12" s="594" t="s">
        <v>120</v>
      </c>
      <c r="W12" s="595"/>
      <c r="X12" s="238"/>
      <c r="Y12" s="246"/>
      <c r="Z12" s="363" t="s">
        <v>286</v>
      </c>
      <c r="AA12" s="358"/>
      <c r="AB12" s="364"/>
      <c r="AC12" s="246"/>
      <c r="AD12" s="246"/>
      <c r="AE12" s="246"/>
      <c r="AF12" s="246"/>
      <c r="AG12" s="246"/>
      <c r="AH12" s="246"/>
      <c r="AI12" s="246"/>
      <c r="AJ12" s="246"/>
      <c r="AK12" s="246"/>
      <c r="AL12" s="246"/>
      <c r="AM12" s="246"/>
      <c r="AN12" s="246"/>
      <c r="AO12" s="246"/>
      <c r="AP12" s="246"/>
      <c r="AQ12" s="246"/>
      <c r="AS12" s="232">
        <f t="shared" si="1"/>
        <v>8</v>
      </c>
      <c r="AT12" s="278">
        <f>IF(ISNUMBER(AS12),AW11,0)</f>
        <v>106.38297872340425</v>
      </c>
      <c r="AU12" s="278"/>
      <c r="AV12" s="278">
        <f t="shared" si="2"/>
        <v>20.212765957446809</v>
      </c>
      <c r="AW12" s="278">
        <f t="shared" si="6"/>
        <v>106.38297872340425</v>
      </c>
      <c r="AX12" s="232">
        <f>IF(ISNUMBER(AS13),SUM(AU12:AV12),SUM(AU12:AW12))</f>
        <v>20.212765957446809</v>
      </c>
      <c r="AY12" s="279">
        <f t="shared" si="0"/>
        <v>6.8306303745020891E-2</v>
      </c>
      <c r="AZ12" s="232">
        <f t="shared" si="4"/>
        <v>4.6232395049317664E-2</v>
      </c>
      <c r="BA12" s="232"/>
    </row>
    <row r="13" spans="1:54" ht="30.75" customHeight="1" x14ac:dyDescent="0.2">
      <c r="A13" s="246"/>
      <c r="B13" s="247"/>
      <c r="C13" s="241"/>
      <c r="D13" s="240"/>
      <c r="E13" s="234"/>
      <c r="F13" s="461" t="s">
        <v>217</v>
      </c>
      <c r="G13" s="507">
        <v>1</v>
      </c>
      <c r="H13" s="238"/>
      <c r="I13" s="241"/>
      <c r="J13" s="380"/>
      <c r="K13" s="238"/>
      <c r="L13" s="312" t="s">
        <v>398</v>
      </c>
      <c r="M13" s="313">
        <v>0.5</v>
      </c>
      <c r="N13" s="244"/>
      <c r="O13" s="238"/>
      <c r="P13" s="246"/>
      <c r="Q13" s="596" t="s">
        <v>122</v>
      </c>
      <c r="R13" s="457" t="s">
        <v>442</v>
      </c>
      <c r="S13" s="457" t="s">
        <v>563</v>
      </c>
      <c r="T13" s="569" t="s">
        <v>564</v>
      </c>
      <c r="U13" s="569"/>
      <c r="V13" s="569" t="s">
        <v>562</v>
      </c>
      <c r="W13" s="570"/>
      <c r="X13" s="238"/>
      <c r="Y13" s="246"/>
      <c r="Z13" s="360" t="s">
        <v>570</v>
      </c>
      <c r="AA13" s="361"/>
      <c r="AB13" s="365">
        <f>IF($AB$10="Yes",MAX(AB6,$AB$9),AB6)/AB6</f>
        <v>1</v>
      </c>
      <c r="AC13" s="246"/>
      <c r="AD13" s="246"/>
      <c r="AE13" s="246"/>
      <c r="AF13" s="246"/>
      <c r="AG13" s="246"/>
      <c r="AH13" s="246"/>
      <c r="AI13" s="246"/>
      <c r="AJ13" s="246"/>
      <c r="AK13" s="246"/>
      <c r="AL13" s="246"/>
      <c r="AM13" s="246"/>
      <c r="AN13" s="246"/>
      <c r="AO13" s="246"/>
      <c r="AP13" s="246"/>
      <c r="AQ13" s="246"/>
      <c r="AS13" s="232">
        <f t="shared" si="1"/>
        <v>9</v>
      </c>
      <c r="AT13" s="278">
        <f>IF(ISNUMBER(AS13),AW12,0)</f>
        <v>106.38297872340425</v>
      </c>
      <c r="AU13" s="278"/>
      <c r="AV13" s="278">
        <f t="shared" si="2"/>
        <v>20.212765957446809</v>
      </c>
      <c r="AW13" s="278">
        <f t="shared" si="6"/>
        <v>106.38297872340425</v>
      </c>
      <c r="AX13" s="232">
        <f t="shared" si="3"/>
        <v>20.212765957446809</v>
      </c>
      <c r="AY13" s="279">
        <f t="shared" si="0"/>
        <v>6.8306303745020891E-2</v>
      </c>
      <c r="AZ13" s="232">
        <f t="shared" si="4"/>
        <v>4.4030852427921582E-2</v>
      </c>
      <c r="BA13" s="232"/>
    </row>
    <row r="14" spans="1:54" ht="21" customHeight="1" thickBot="1" x14ac:dyDescent="0.25">
      <c r="A14" s="246"/>
      <c r="B14" s="597" t="s">
        <v>366</v>
      </c>
      <c r="C14" s="598" t="s">
        <v>529</v>
      </c>
      <c r="D14" s="600">
        <v>20</v>
      </c>
      <c r="E14" s="235"/>
      <c r="F14" s="598" t="s">
        <v>530</v>
      </c>
      <c r="G14" s="600">
        <v>1.7608179999999999E-3</v>
      </c>
      <c r="H14" s="238"/>
      <c r="I14" s="300" t="s">
        <v>539</v>
      </c>
      <c r="J14" s="382">
        <v>1</v>
      </c>
      <c r="K14" s="316"/>
      <c r="L14" s="312" t="s">
        <v>400</v>
      </c>
      <c r="M14" s="313">
        <v>1</v>
      </c>
      <c r="N14" s="244"/>
      <c r="O14" s="238"/>
      <c r="P14" s="246"/>
      <c r="Q14" s="577"/>
      <c r="R14" s="462">
        <f>BA5</f>
        <v>0.96365615609067312</v>
      </c>
      <c r="S14" s="462">
        <f>AZ4</f>
        <v>0.31632022465180309</v>
      </c>
      <c r="T14" s="602">
        <f>R14+S14</f>
        <v>1.2799763807424762</v>
      </c>
      <c r="U14" s="602"/>
      <c r="V14" s="582">
        <f>T14/(Andrew!Q37/Andrew!D16)</f>
        <v>4.8608383035076289E-3</v>
      </c>
      <c r="W14" s="603"/>
      <c r="X14" s="238"/>
      <c r="Y14" s="387"/>
      <c r="Z14" s="360" t="s">
        <v>560</v>
      </c>
      <c r="AA14" s="361"/>
      <c r="AB14" s="365">
        <f>IF($AB$10="Yes",MAX(AB7,$AB$9),AB7)/AB7</f>
        <v>1</v>
      </c>
      <c r="AC14" s="246"/>
      <c r="AD14" s="246"/>
      <c r="AE14" s="246"/>
      <c r="AF14" s="246"/>
      <c r="AG14" s="246"/>
      <c r="AH14" s="246"/>
      <c r="AI14" s="246"/>
      <c r="AJ14" s="246"/>
      <c r="AK14" s="246"/>
      <c r="AL14" s="246"/>
      <c r="AM14" s="246"/>
      <c r="AN14" s="246"/>
      <c r="AO14" s="246"/>
      <c r="AP14" s="246"/>
      <c r="AQ14" s="246"/>
      <c r="AS14" s="232">
        <f t="shared" si="1"/>
        <v>10</v>
      </c>
      <c r="AT14" s="278">
        <f t="shared" si="5"/>
        <v>106.38297872340425</v>
      </c>
      <c r="AU14" s="278"/>
      <c r="AV14" s="278">
        <f t="shared" si="2"/>
        <v>20.212765957446809</v>
      </c>
      <c r="AW14" s="278">
        <f t="shared" si="6"/>
        <v>106.38297872340425</v>
      </c>
      <c r="AX14" s="232">
        <f t="shared" si="3"/>
        <v>20.212765957446809</v>
      </c>
      <c r="AY14" s="279">
        <f t="shared" si="0"/>
        <v>6.8306303745020891E-2</v>
      </c>
      <c r="AZ14" s="232">
        <f t="shared" si="4"/>
        <v>4.1934145169449127E-2</v>
      </c>
      <c r="BA14" s="232"/>
    </row>
    <row r="15" spans="1:54" ht="21" customHeight="1" thickBot="1" x14ac:dyDescent="0.25">
      <c r="A15" s="246"/>
      <c r="B15" s="597"/>
      <c r="C15" s="599"/>
      <c r="D15" s="601"/>
      <c r="E15" s="235"/>
      <c r="F15" s="599"/>
      <c r="G15" s="601"/>
      <c r="H15" s="238"/>
      <c r="I15" s="300" t="s">
        <v>538</v>
      </c>
      <c r="J15" s="383">
        <v>0.75</v>
      </c>
      <c r="K15" s="316"/>
      <c r="L15" s="322" t="s">
        <v>403</v>
      </c>
      <c r="M15" s="337">
        <v>3.5999999999999997E-2</v>
      </c>
      <c r="N15" s="244"/>
      <c r="O15" s="238"/>
      <c r="P15" s="246"/>
      <c r="Q15" s="463" t="s">
        <v>129</v>
      </c>
      <c r="R15" s="415"/>
      <c r="S15" s="465" t="s">
        <v>561</v>
      </c>
      <c r="T15" s="604" t="s">
        <v>560</v>
      </c>
      <c r="U15" s="605"/>
      <c r="V15" s="465" t="s">
        <v>566</v>
      </c>
      <c r="W15" s="430" t="s">
        <v>576</v>
      </c>
      <c r="X15" s="238"/>
      <c r="Y15" s="387"/>
      <c r="Z15" s="366" t="s">
        <v>566</v>
      </c>
      <c r="AA15" s="367"/>
      <c r="AB15" s="368">
        <f>IF($AB$10="Yes",MAX(AB8,$AB$9),AB8)/AB8</f>
        <v>1</v>
      </c>
      <c r="AC15" s="246"/>
      <c r="AD15" s="246"/>
      <c r="AE15" s="246"/>
      <c r="AF15" s="246"/>
      <c r="AG15" s="246"/>
      <c r="AH15" s="246"/>
      <c r="AI15" s="246"/>
      <c r="AJ15" s="246"/>
      <c r="AK15" s="246"/>
      <c r="AL15" s="246"/>
      <c r="AM15" s="246"/>
      <c r="AN15" s="246"/>
      <c r="AO15" s="246"/>
      <c r="AP15" s="246"/>
      <c r="AQ15" s="246"/>
      <c r="AS15" s="232">
        <f t="shared" si="1"/>
        <v>11</v>
      </c>
      <c r="AT15" s="278">
        <f t="shared" si="5"/>
        <v>106.38297872340425</v>
      </c>
      <c r="AU15" s="278"/>
      <c r="AV15" s="278">
        <f t="shared" si="2"/>
        <v>20.212765957446809</v>
      </c>
      <c r="AW15" s="278">
        <f t="shared" si="6"/>
        <v>106.38297872340425</v>
      </c>
      <c r="AX15" s="232">
        <f>IF(ISNUMBER(AS16),SUM(AU15:AV15),SUM(AU15:AW15))</f>
        <v>20.212765957446809</v>
      </c>
      <c r="AY15" s="279">
        <f t="shared" si="0"/>
        <v>6.8306303745020891E-2</v>
      </c>
      <c r="AZ15" s="232">
        <f t="shared" si="4"/>
        <v>3.9937281113761068E-2</v>
      </c>
      <c r="BA15" s="232"/>
    </row>
    <row r="16" spans="1:54" ht="21" customHeight="1" x14ac:dyDescent="0.2">
      <c r="A16" s="246"/>
      <c r="B16" s="597"/>
      <c r="C16" s="606" t="s">
        <v>547</v>
      </c>
      <c r="D16" s="608">
        <v>0.80800000000000005</v>
      </c>
      <c r="E16" s="235"/>
      <c r="F16" s="606" t="s">
        <v>345</v>
      </c>
      <c r="G16" s="610">
        <v>40</v>
      </c>
      <c r="H16" s="238"/>
      <c r="I16" s="296" t="s">
        <v>556</v>
      </c>
      <c r="J16" s="384">
        <v>0.51</v>
      </c>
      <c r="K16" s="317"/>
      <c r="L16" s="238"/>
      <c r="M16" s="238"/>
      <c r="N16" s="244"/>
      <c r="O16" s="238"/>
      <c r="P16" s="246"/>
      <c r="Q16" s="459"/>
      <c r="R16" s="413" t="s">
        <v>126</v>
      </c>
      <c r="S16" s="490">
        <f>$T9/$T$9</f>
        <v>1</v>
      </c>
      <c r="T16" s="612">
        <f>$T9/$T$10</f>
        <v>1.928322150382979</v>
      </c>
      <c r="U16" s="613"/>
      <c r="V16" s="490">
        <f>$T9/$T$11</f>
        <v>0.77305761795137351</v>
      </c>
      <c r="W16" s="491">
        <f>$T9/$V$14</f>
        <v>10.923360986849758</v>
      </c>
      <c r="X16" s="238"/>
      <c r="Y16" s="387"/>
      <c r="Z16" s="246"/>
      <c r="AA16" s="246"/>
      <c r="AB16" s="246"/>
      <c r="AC16" s="246"/>
      <c r="AD16" s="246"/>
      <c r="AE16" s="246"/>
      <c r="AF16" s="246"/>
      <c r="AG16" s="246"/>
      <c r="AH16" s="246"/>
      <c r="AI16" s="246"/>
      <c r="AJ16" s="246"/>
      <c r="AK16" s="246"/>
      <c r="AL16" s="246"/>
      <c r="AM16" s="246"/>
      <c r="AN16" s="246"/>
      <c r="AO16" s="246"/>
      <c r="AP16" s="246"/>
      <c r="AQ16" s="246"/>
      <c r="AS16" s="232">
        <f t="shared" si="1"/>
        <v>12</v>
      </c>
      <c r="AT16" s="278">
        <f t="shared" si="5"/>
        <v>106.38297872340425</v>
      </c>
      <c r="AU16" s="278"/>
      <c r="AV16" s="278">
        <f t="shared" si="2"/>
        <v>20.212765957446809</v>
      </c>
      <c r="AW16" s="278">
        <f t="shared" si="6"/>
        <v>106.38297872340425</v>
      </c>
      <c r="AX16" s="232">
        <f t="shared" ref="AX16:AX81" si="7">IF(ISNUMBER(AS17),SUM(AU16:AV16),SUM(AU16:AW16))</f>
        <v>20.212765957446809</v>
      </c>
      <c r="AY16" s="279">
        <f t="shared" si="0"/>
        <v>6.8306303745020891E-2</v>
      </c>
      <c r="AZ16" s="232">
        <f t="shared" si="4"/>
        <v>3.8035505822629601E-2</v>
      </c>
      <c r="BA16" s="232"/>
    </row>
    <row r="17" spans="1:54" ht="31.75" customHeight="1" x14ac:dyDescent="0.2">
      <c r="A17" s="246"/>
      <c r="B17" s="597"/>
      <c r="C17" s="607"/>
      <c r="D17" s="609"/>
      <c r="E17" s="235"/>
      <c r="F17" s="599"/>
      <c r="G17" s="611"/>
      <c r="H17" s="238"/>
      <c r="I17" s="297" t="s">
        <v>535</v>
      </c>
      <c r="J17" s="385">
        <v>0.5292</v>
      </c>
      <c r="K17" s="317"/>
      <c r="L17" s="614" t="s">
        <v>566</v>
      </c>
      <c r="M17" s="614"/>
      <c r="N17" s="244"/>
      <c r="O17" s="238"/>
      <c r="P17" s="246"/>
      <c r="Q17" s="459"/>
      <c r="R17" s="413" t="s">
        <v>127</v>
      </c>
      <c r="S17" s="490">
        <f>$T10/$T$9</f>
        <v>0.51858554847870864</v>
      </c>
      <c r="T17" s="612">
        <f>$T10/$T$10</f>
        <v>1</v>
      </c>
      <c r="U17" s="613"/>
      <c r="V17" s="490">
        <f>$T10/$T$11</f>
        <v>0.40089650881095701</v>
      </c>
      <c r="W17" s="491">
        <f>$T10/$V$14</f>
        <v>5.6646971485964093</v>
      </c>
      <c r="X17" s="238"/>
      <c r="Y17" s="387"/>
      <c r="Z17" s="246"/>
      <c r="AA17" s="246"/>
      <c r="AB17" s="246"/>
      <c r="AC17" s="246"/>
      <c r="AD17" s="246"/>
      <c r="AE17" s="246"/>
      <c r="AF17" s="246"/>
      <c r="AG17" s="246"/>
      <c r="AH17" s="246"/>
      <c r="AI17" s="246"/>
      <c r="AJ17" s="246"/>
      <c r="AK17" s="246"/>
      <c r="AL17" s="246"/>
      <c r="AM17" s="246"/>
      <c r="AN17" s="246"/>
      <c r="AO17" s="246"/>
      <c r="AP17" s="246"/>
      <c r="AQ17" s="246"/>
      <c r="AS17" s="232">
        <f>IF(AS16&lt;$D$14,AS16+1,"")</f>
        <v>13</v>
      </c>
      <c r="AT17" s="278">
        <f>IF(ISNUMBER(AS17),AW16,0)</f>
        <v>106.38297872340425</v>
      </c>
      <c r="AU17" s="278"/>
      <c r="AV17" s="278">
        <f t="shared" si="2"/>
        <v>20.212765957446809</v>
      </c>
      <c r="AW17" s="278">
        <f t="shared" si="6"/>
        <v>106.38297872340425</v>
      </c>
      <c r="AX17" s="232">
        <f>IF(ISNUMBER(AS18),SUM(AU17:AV17),SUM(AU17:AW17))</f>
        <v>20.212765957446809</v>
      </c>
      <c r="AY17" s="279">
        <f t="shared" si="0"/>
        <v>6.8306303745020891E-2</v>
      </c>
      <c r="AZ17" s="232">
        <f t="shared" si="4"/>
        <v>3.6224291259647226E-2</v>
      </c>
      <c r="BA17" s="232"/>
    </row>
    <row r="18" spans="1:54" ht="30.75" customHeight="1" x14ac:dyDescent="0.2">
      <c r="A18" s="246"/>
      <c r="B18" s="597"/>
      <c r="C18" s="238"/>
      <c r="D18" s="238"/>
      <c r="E18" s="235"/>
      <c r="F18" s="310" t="s">
        <v>372</v>
      </c>
      <c r="G18" s="308">
        <v>0.3</v>
      </c>
      <c r="H18" s="238"/>
      <c r="I18" s="307" t="s">
        <v>229</v>
      </c>
      <c r="J18" s="306">
        <v>1</v>
      </c>
      <c r="K18" s="316"/>
      <c r="L18" s="312" t="s">
        <v>77</v>
      </c>
      <c r="M18" s="137">
        <v>1</v>
      </c>
      <c r="N18" s="244"/>
      <c r="O18" s="238"/>
      <c r="P18" s="238"/>
      <c r="Q18" s="459"/>
      <c r="R18" s="413" t="s">
        <v>128</v>
      </c>
      <c r="S18" s="490">
        <f>$T11/$T$9</f>
        <v>1.2935646409513832</v>
      </c>
      <c r="T18" s="612">
        <f>$T11/$T$10</f>
        <v>2.4944093500987576</v>
      </c>
      <c r="U18" s="613"/>
      <c r="V18" s="490">
        <f>$T11/$T$11</f>
        <v>1</v>
      </c>
      <c r="W18" s="491">
        <f>$T11/$V$14</f>
        <v>14.130073532936654</v>
      </c>
      <c r="X18" s="238"/>
      <c r="Y18" s="246"/>
      <c r="Z18" s="246"/>
      <c r="AA18" s="246"/>
      <c r="AB18" s="246"/>
      <c r="AC18" s="246"/>
      <c r="AD18" s="246"/>
      <c r="AE18" s="246"/>
      <c r="AF18" s="246"/>
      <c r="AG18" s="246"/>
      <c r="AH18" s="246"/>
      <c r="AI18" s="246"/>
      <c r="AJ18" s="246"/>
      <c r="AK18" s="246"/>
      <c r="AL18" s="246"/>
      <c r="AM18" s="246"/>
      <c r="AN18" s="246"/>
      <c r="AO18" s="246"/>
      <c r="AP18" s="246"/>
      <c r="AQ18" s="246"/>
      <c r="AS18" s="232">
        <f>IF(AS17&lt;$D$14,AS17+1,"")</f>
        <v>14</v>
      </c>
      <c r="AT18" s="278">
        <f>IF(ISNUMBER(AS18),AW17,0)</f>
        <v>106.38297872340425</v>
      </c>
      <c r="AU18" s="278"/>
      <c r="AV18" s="278">
        <f t="shared" si="2"/>
        <v>20.212765957446809</v>
      </c>
      <c r="AW18" s="278">
        <f t="shared" si="6"/>
        <v>106.38297872340425</v>
      </c>
      <c r="AX18" s="232">
        <f>IF(ISNUMBER(AS19),SUM(AU18:AV18),SUM(AU18:AW18))</f>
        <v>20.212765957446809</v>
      </c>
      <c r="AY18" s="279">
        <f t="shared" si="0"/>
        <v>6.8306303745020891E-2</v>
      </c>
      <c r="AZ18" s="232">
        <f t="shared" si="4"/>
        <v>3.4499325009187842E-2</v>
      </c>
      <c r="BA18" s="232"/>
    </row>
    <row r="19" spans="1:54" ht="21" customHeight="1" thickBot="1" x14ac:dyDescent="0.25">
      <c r="A19" s="246"/>
      <c r="B19" s="302"/>
      <c r="C19" s="239"/>
      <c r="D19" s="239"/>
      <c r="E19" s="239"/>
      <c r="F19" s="303"/>
      <c r="G19" s="304"/>
      <c r="H19" s="239"/>
      <c r="I19" s="239"/>
      <c r="J19" s="239"/>
      <c r="K19" s="239"/>
      <c r="L19" s="319"/>
      <c r="M19" s="239"/>
      <c r="N19" s="305"/>
      <c r="O19" s="238"/>
      <c r="P19" s="246"/>
      <c r="Q19" s="469"/>
      <c r="R19" s="414" t="s">
        <v>130</v>
      </c>
      <c r="S19" s="492">
        <f>$V14/$T$9</f>
        <v>9.1546915020373681E-2</v>
      </c>
      <c r="T19" s="615">
        <f>$V14/$T$10</f>
        <v>0.17653194403301481</v>
      </c>
      <c r="U19" s="616"/>
      <c r="V19" s="492">
        <f>$V14/$T$11</f>
        <v>7.0771040056446896E-2</v>
      </c>
      <c r="W19" s="493">
        <f>$V14/$T$14</f>
        <v>3.7976000000000008E-3</v>
      </c>
      <c r="X19" s="238"/>
      <c r="Y19" s="246"/>
      <c r="Z19" s="246"/>
      <c r="AA19" s="246"/>
      <c r="AB19" s="246"/>
      <c r="AC19" s="246"/>
      <c r="AD19" s="246"/>
      <c r="AE19" s="246"/>
      <c r="AF19" s="246"/>
      <c r="AG19" s="246"/>
      <c r="AH19" s="246"/>
      <c r="AI19" s="246"/>
      <c r="AJ19" s="246"/>
      <c r="AK19" s="246"/>
      <c r="AL19" s="246"/>
      <c r="AM19" s="246"/>
      <c r="AN19" s="246"/>
      <c r="AO19" s="246"/>
      <c r="AP19" s="246"/>
      <c r="AQ19" s="246"/>
      <c r="AS19" s="232">
        <f>IF(AS18&lt;$D$14,AS18+1,"")</f>
        <v>15</v>
      </c>
      <c r="AT19" s="278">
        <f>IF(ISNUMBER(AS19),AW18,0)</f>
        <v>106.38297872340425</v>
      </c>
      <c r="AU19" s="278"/>
      <c r="AV19" s="278">
        <f t="shared" si="2"/>
        <v>20.212765957446809</v>
      </c>
      <c r="AW19" s="278">
        <f t="shared" si="6"/>
        <v>106.38297872340425</v>
      </c>
      <c r="AX19" s="232">
        <f t="shared" si="7"/>
        <v>20.212765957446809</v>
      </c>
      <c r="AY19" s="279">
        <f t="shared" si="0"/>
        <v>6.8306303745020891E-2</v>
      </c>
      <c r="AZ19" s="232">
        <f t="shared" si="4"/>
        <v>3.2856500008750317E-2</v>
      </c>
      <c r="BA19" s="232"/>
    </row>
    <row r="20" spans="1:54" ht="9.75" customHeight="1" thickBot="1" x14ac:dyDescent="0.25">
      <c r="A20" s="246"/>
      <c r="B20" s="246"/>
      <c r="C20" s="246"/>
      <c r="D20" s="246"/>
      <c r="E20" s="246"/>
      <c r="F20" s="246"/>
      <c r="G20" s="246"/>
      <c r="H20" s="246"/>
      <c r="I20" s="246"/>
      <c r="J20" s="246"/>
      <c r="K20" s="246"/>
      <c r="L20" s="246"/>
      <c r="M20" s="246"/>
      <c r="N20" s="246"/>
      <c r="O20" s="246"/>
      <c r="P20" s="246"/>
      <c r="Q20" s="238"/>
      <c r="R20" s="238"/>
      <c r="S20" s="238"/>
      <c r="T20" s="238"/>
      <c r="U20" s="238"/>
      <c r="V20" s="238"/>
      <c r="W20" s="238"/>
      <c r="Y20" s="246"/>
      <c r="Z20" s="246"/>
      <c r="AA20" s="246"/>
      <c r="AB20" s="246"/>
      <c r="AC20" s="246"/>
      <c r="AD20" s="246"/>
      <c r="AE20" s="246"/>
      <c r="AF20" s="246"/>
      <c r="AG20" s="246"/>
      <c r="AH20" s="246"/>
      <c r="AI20" s="246"/>
      <c r="AJ20" s="246"/>
      <c r="AK20" s="246"/>
      <c r="AL20" s="246"/>
      <c r="AM20" s="246"/>
      <c r="AN20" s="246"/>
      <c r="AO20" s="246"/>
      <c r="AP20" s="246"/>
      <c r="AQ20" s="246"/>
      <c r="AS20" s="232">
        <f t="shared" si="1"/>
        <v>16</v>
      </c>
      <c r="AT20" s="278">
        <f t="shared" si="5"/>
        <v>106.38297872340425</v>
      </c>
      <c r="AU20" s="278"/>
      <c r="AV20" s="278">
        <f t="shared" si="2"/>
        <v>20.212765957446809</v>
      </c>
      <c r="AW20" s="278">
        <f t="shared" si="6"/>
        <v>106.38297872340425</v>
      </c>
      <c r="AX20" s="232">
        <f>IF(ISNUMBER(AS21),SUM(AU20:AV20),SUM(AU20:AW20))</f>
        <v>20.212765957446809</v>
      </c>
      <c r="AY20" s="279">
        <f t="shared" si="0"/>
        <v>6.8306303745020891E-2</v>
      </c>
      <c r="AZ20" s="232">
        <f t="shared" si="4"/>
        <v>3.1291904770238403E-2</v>
      </c>
      <c r="BA20" s="232"/>
    </row>
    <row r="21" spans="1:54" ht="10.5" customHeight="1" x14ac:dyDescent="0.2">
      <c r="A21" s="246"/>
      <c r="B21" s="246"/>
      <c r="C21" s="246"/>
      <c r="D21" s="246"/>
      <c r="E21" s="238"/>
      <c r="F21" s="617" t="s">
        <v>562</v>
      </c>
      <c r="G21" s="257" t="s">
        <v>561</v>
      </c>
      <c r="H21" s="258"/>
      <c r="I21" s="487">
        <f>T9</f>
        <v>5.3096691487920199E-2</v>
      </c>
      <c r="J21" s="259"/>
      <c r="K21" s="260"/>
      <c r="L21" s="263"/>
      <c r="M21" s="263"/>
      <c r="N21" s="263"/>
      <c r="O21" s="263"/>
      <c r="P21" s="238"/>
      <c r="Q21" s="557" t="s">
        <v>285</v>
      </c>
      <c r="R21" s="621" t="s">
        <v>243</v>
      </c>
      <c r="S21" s="622"/>
      <c r="T21" s="355"/>
      <c r="U21" s="625" t="s">
        <v>281</v>
      </c>
      <c r="V21" s="625"/>
      <c r="W21" s="626"/>
      <c r="Y21" s="246"/>
      <c r="Z21" s="246"/>
      <c r="AA21" s="246"/>
      <c r="AB21" s="246"/>
      <c r="AC21" s="246"/>
      <c r="AD21" s="246"/>
      <c r="AE21" s="246"/>
      <c r="AF21" s="246"/>
      <c r="AG21" s="246"/>
      <c r="AH21" s="246"/>
      <c r="AI21" s="246"/>
      <c r="AJ21" s="246"/>
      <c r="AK21" s="246"/>
      <c r="AL21" s="246"/>
      <c r="AM21" s="246"/>
      <c r="AN21" s="246"/>
      <c r="AO21" s="246"/>
      <c r="AP21" s="246"/>
      <c r="AQ21" s="246"/>
      <c r="AS21" s="232">
        <f>IF(AS20&lt;$D$14,AS20+1,"")</f>
        <v>17</v>
      </c>
      <c r="AT21" s="278">
        <f>IF(ISNUMBER(AS21),AW20,0)</f>
        <v>106.38297872340425</v>
      </c>
      <c r="AU21" s="278"/>
      <c r="AV21" s="278">
        <f t="shared" si="2"/>
        <v>20.212765957446809</v>
      </c>
      <c r="AW21" s="278">
        <f t="shared" si="6"/>
        <v>106.38297872340425</v>
      </c>
      <c r="AX21" s="232">
        <f t="shared" si="7"/>
        <v>20.212765957446809</v>
      </c>
      <c r="AY21" s="279">
        <f t="shared" si="0"/>
        <v>6.8306303745020891E-2</v>
      </c>
      <c r="AZ21" s="232">
        <f t="shared" si="4"/>
        <v>2.9801814066893712E-2</v>
      </c>
      <c r="BA21" s="232"/>
    </row>
    <row r="22" spans="1:54" ht="12" customHeight="1" thickBot="1" x14ac:dyDescent="0.25">
      <c r="A22" s="246"/>
      <c r="B22" s="246"/>
      <c r="C22" s="246"/>
      <c r="D22" s="246"/>
      <c r="E22" s="238"/>
      <c r="F22" s="618"/>
      <c r="G22" s="261" t="s">
        <v>560</v>
      </c>
      <c r="H22" s="262"/>
      <c r="I22" s="488">
        <f>T10</f>
        <v>2.7535176877667874E-2</v>
      </c>
      <c r="J22" s="263"/>
      <c r="K22" s="264"/>
      <c r="L22" s="263"/>
      <c r="M22" s="263"/>
      <c r="N22" s="263"/>
      <c r="O22" s="263"/>
      <c r="P22" s="238"/>
      <c r="Q22" s="619"/>
      <c r="R22" s="623"/>
      <c r="S22" s="624"/>
      <c r="T22" s="356"/>
      <c r="U22" s="627"/>
      <c r="V22" s="627"/>
      <c r="W22" s="628"/>
      <c r="Y22" s="246"/>
      <c r="Z22" s="246"/>
      <c r="AA22" s="246"/>
      <c r="AB22" s="246"/>
      <c r="AC22" s="246"/>
      <c r="AD22" s="246"/>
      <c r="AE22" s="246"/>
      <c r="AF22" s="246"/>
      <c r="AG22" s="246"/>
      <c r="AH22" s="246"/>
      <c r="AI22" s="246"/>
      <c r="AJ22" s="246"/>
      <c r="AK22" s="246"/>
      <c r="AL22" s="246"/>
      <c r="AM22" s="246"/>
      <c r="AN22" s="246"/>
      <c r="AO22" s="246"/>
      <c r="AP22" s="246"/>
      <c r="AQ22" s="246"/>
      <c r="AS22" s="232">
        <f t="shared" si="1"/>
        <v>18</v>
      </c>
      <c r="AT22" s="278">
        <f t="shared" si="5"/>
        <v>106.38297872340425</v>
      </c>
      <c r="AU22" s="278"/>
      <c r="AV22" s="278">
        <f t="shared" si="2"/>
        <v>20.212765957446809</v>
      </c>
      <c r="AW22" s="278">
        <f t="shared" si="6"/>
        <v>106.38297872340425</v>
      </c>
      <c r="AX22" s="232">
        <f t="shared" si="7"/>
        <v>20.212765957446809</v>
      </c>
      <c r="AY22" s="279">
        <f t="shared" si="0"/>
        <v>6.8306303745020891E-2</v>
      </c>
      <c r="AZ22" s="232">
        <f t="shared" si="4"/>
        <v>2.8382680063708296E-2</v>
      </c>
      <c r="BA22" s="232"/>
    </row>
    <row r="23" spans="1:54" ht="10.75" customHeight="1" x14ac:dyDescent="0.2">
      <c r="A23" s="246"/>
      <c r="B23" s="565" t="s">
        <v>410</v>
      </c>
      <c r="C23" s="637"/>
      <c r="D23" s="637"/>
      <c r="E23" s="637"/>
      <c r="F23" s="618"/>
      <c r="G23" s="261" t="s">
        <v>390</v>
      </c>
      <c r="H23" s="262"/>
      <c r="I23" s="488">
        <f>T12</f>
        <v>3.6604717930108041E-2</v>
      </c>
      <c r="J23" s="263"/>
      <c r="K23" s="264"/>
      <c r="L23" s="263"/>
      <c r="M23" s="263"/>
      <c r="N23" s="263"/>
      <c r="O23" s="263"/>
      <c r="P23" s="238"/>
      <c r="Q23" s="619"/>
      <c r="R23" s="347" t="s">
        <v>566</v>
      </c>
      <c r="S23" s="494">
        <f>(R37/S37)*T5</f>
        <v>76.237017403394702</v>
      </c>
      <c r="T23" s="495"/>
      <c r="U23" s="496"/>
      <c r="V23" s="496"/>
      <c r="W23" s="497"/>
      <c r="Y23" s="246"/>
      <c r="Z23" s="246"/>
      <c r="AA23" s="246"/>
      <c r="AB23" s="246"/>
      <c r="AC23" s="246"/>
      <c r="AD23" s="246"/>
      <c r="AE23" s="246"/>
      <c r="AF23" s="246"/>
      <c r="AG23" s="246"/>
      <c r="AH23" s="246"/>
      <c r="AI23" s="246"/>
      <c r="AJ23" s="246"/>
      <c r="AK23" s="246"/>
      <c r="AL23" s="246"/>
      <c r="AM23" s="246"/>
      <c r="AN23" s="246"/>
      <c r="AO23" s="246"/>
      <c r="AP23" s="246"/>
      <c r="AQ23" s="246"/>
      <c r="AS23" s="232">
        <f t="shared" si="1"/>
        <v>19</v>
      </c>
      <c r="AT23" s="278">
        <f t="shared" si="5"/>
        <v>106.38297872340425</v>
      </c>
      <c r="AU23" s="278"/>
      <c r="AV23" s="278">
        <f t="shared" si="2"/>
        <v>20.212765957446809</v>
      </c>
      <c r="AW23" s="278">
        <f t="shared" si="6"/>
        <v>106.38297872340425</v>
      </c>
      <c r="AX23" s="232">
        <f t="shared" si="7"/>
        <v>20.212765957446809</v>
      </c>
      <c r="AY23" s="279">
        <f t="shared" si="0"/>
        <v>6.8306303745020891E-2</v>
      </c>
      <c r="AZ23" s="232">
        <f t="shared" si="4"/>
        <v>2.7031123870198379E-2</v>
      </c>
      <c r="BA23" s="232"/>
    </row>
    <row r="24" spans="1:54" ht="12.75" customHeight="1" x14ac:dyDescent="0.2">
      <c r="A24" s="246"/>
      <c r="B24" s="638"/>
      <c r="C24" s="639"/>
      <c r="D24" s="639"/>
      <c r="E24" s="639"/>
      <c r="F24" s="618"/>
      <c r="G24" s="261" t="s">
        <v>542</v>
      </c>
      <c r="H24" s="262"/>
      <c r="I24" s="488">
        <f>V14</f>
        <v>4.8608383035076289E-3</v>
      </c>
      <c r="J24" s="263"/>
      <c r="K24" s="264"/>
      <c r="L24" s="263"/>
      <c r="M24" s="263"/>
      <c r="N24" s="263"/>
      <c r="O24" s="263"/>
      <c r="P24" s="238"/>
      <c r="Q24" s="619"/>
      <c r="R24" s="347" t="s">
        <v>570</v>
      </c>
      <c r="S24" s="494">
        <f>T9*$R$37</f>
        <v>150.70237793452594</v>
      </c>
      <c r="T24" s="495"/>
      <c r="U24" s="496" t="s">
        <v>570</v>
      </c>
      <c r="V24" s="496"/>
      <c r="W24" s="497">
        <f>S24/S$23</f>
        <v>1.9767611990525671</v>
      </c>
      <c r="Y24" s="246"/>
      <c r="Z24" s="246"/>
      <c r="AA24" s="246"/>
      <c r="AB24" s="246"/>
      <c r="AC24" s="246"/>
      <c r="AD24" s="246"/>
      <c r="AE24" s="246"/>
      <c r="AF24" s="246"/>
      <c r="AG24" s="246"/>
      <c r="AH24" s="246"/>
      <c r="AI24" s="246"/>
      <c r="AJ24" s="246"/>
      <c r="AK24" s="246"/>
      <c r="AL24" s="246"/>
      <c r="AM24" s="246"/>
      <c r="AN24" s="246"/>
      <c r="AO24" s="246"/>
      <c r="AP24" s="246"/>
      <c r="AQ24" s="246"/>
      <c r="AS24" s="232">
        <f t="shared" si="1"/>
        <v>20</v>
      </c>
      <c r="AT24" s="278">
        <f t="shared" si="5"/>
        <v>106.38297872340425</v>
      </c>
      <c r="AU24" s="278"/>
      <c r="AV24" s="278">
        <f t="shared" si="2"/>
        <v>20.212765957446809</v>
      </c>
      <c r="AW24" s="278">
        <f t="shared" si="6"/>
        <v>106.38297872340425</v>
      </c>
      <c r="AX24" s="232">
        <f>IF(ISNUMBER(AS25),SUM(AU24:AV24),SUM(AU24:AW24))</f>
        <v>126.59574468085106</v>
      </c>
      <c r="AY24" s="279">
        <f t="shared" si="0"/>
        <v>0.36655986667788287</v>
      </c>
      <c r="AZ24" s="232">
        <f t="shared" si="4"/>
        <v>0.13815255859422332</v>
      </c>
      <c r="BA24" s="232"/>
    </row>
    <row r="25" spans="1:54" ht="14.5" customHeight="1" thickBot="1" x14ac:dyDescent="0.25">
      <c r="A25" s="246"/>
      <c r="B25" s="638"/>
      <c r="C25" s="639"/>
      <c r="D25" s="639"/>
      <c r="E25" s="639"/>
      <c r="F25" s="265" t="s">
        <v>574</v>
      </c>
      <c r="G25" s="266"/>
      <c r="H25" s="266"/>
      <c r="I25" s="267">
        <f>V14*J37</f>
        <v>1.3898220098523546</v>
      </c>
      <c r="J25" s="263"/>
      <c r="K25" s="264"/>
      <c r="L25" s="263"/>
      <c r="M25" s="263"/>
      <c r="N25" s="263"/>
      <c r="O25" s="263"/>
      <c r="P25" s="238"/>
      <c r="Q25" s="620"/>
      <c r="R25" s="347" t="s">
        <v>560</v>
      </c>
      <c r="S25" s="494">
        <f>T10*$R$37</f>
        <v>78.152075318221762</v>
      </c>
      <c r="T25" s="495"/>
      <c r="U25" s="496" t="s">
        <v>560</v>
      </c>
      <c r="V25" s="496"/>
      <c r="W25" s="497">
        <f>S25/S$23</f>
        <v>1.0251197906221052</v>
      </c>
      <c r="Y25" s="246"/>
      <c r="Z25" s="246"/>
      <c r="AA25" s="246"/>
      <c r="AB25" s="246"/>
      <c r="AC25" s="246"/>
      <c r="AD25" s="246"/>
      <c r="AE25" s="246"/>
      <c r="AF25" s="246"/>
      <c r="AG25" s="246"/>
      <c r="AH25" s="246"/>
      <c r="AI25" s="246"/>
      <c r="AJ25" s="246"/>
      <c r="AK25" s="246"/>
      <c r="AL25" s="246"/>
      <c r="AM25" s="246"/>
      <c r="AN25" s="246"/>
      <c r="AO25" s="246"/>
      <c r="AP25" s="246"/>
      <c r="AQ25" s="246"/>
      <c r="AS25" s="232" t="str">
        <f>IF(AS24&lt;$D$14,AS24+1,"")</f>
        <v/>
      </c>
      <c r="AT25" s="278">
        <f>IF(ISNUMBER(AS25),AW24,0)</f>
        <v>0</v>
      </c>
      <c r="AU25" s="278"/>
      <c r="AV25" s="278">
        <f t="shared" si="2"/>
        <v>0</v>
      </c>
      <c r="AW25" s="278">
        <f t="shared" si="6"/>
        <v>0</v>
      </c>
      <c r="AX25" s="232">
        <f t="shared" si="7"/>
        <v>0</v>
      </c>
      <c r="AY25" s="279">
        <f t="shared" si="0"/>
        <v>0</v>
      </c>
      <c r="AZ25" s="232">
        <f t="shared" si="4"/>
        <v>0</v>
      </c>
      <c r="BA25" s="232"/>
    </row>
    <row r="26" spans="1:54" ht="12" customHeight="1" thickBot="1" x14ac:dyDescent="0.25">
      <c r="A26" s="246"/>
      <c r="B26" s="567"/>
      <c r="C26" s="640"/>
      <c r="D26" s="640"/>
      <c r="E26" s="640"/>
      <c r="F26" s="247"/>
      <c r="G26" s="238"/>
      <c r="H26" s="238"/>
      <c r="I26" s="238"/>
      <c r="J26" s="238"/>
      <c r="K26" s="244"/>
      <c r="L26" s="238"/>
      <c r="M26" s="238"/>
      <c r="N26" s="238"/>
      <c r="O26" s="263"/>
      <c r="P26" s="238"/>
      <c r="Q26" s="238"/>
      <c r="R26" s="347" t="s">
        <v>390</v>
      </c>
      <c r="S26" s="494">
        <f>T12*$R$37</f>
        <v>103.89381863736043</v>
      </c>
      <c r="T26" s="495"/>
      <c r="U26" s="496" t="s">
        <v>390</v>
      </c>
      <c r="V26" s="496"/>
      <c r="W26" s="497">
        <f>S26/S$23</f>
        <v>1.3627739145095965</v>
      </c>
      <c r="Y26" s="246"/>
      <c r="Z26" s="246"/>
      <c r="AA26" s="246"/>
      <c r="AB26" s="246"/>
      <c r="AC26" s="246"/>
      <c r="AD26" s="246"/>
      <c r="AE26" s="246"/>
      <c r="AF26" s="246"/>
      <c r="AG26" s="246"/>
      <c r="AH26" s="246"/>
      <c r="AI26" s="246"/>
      <c r="AJ26" s="246"/>
      <c r="AK26" s="246"/>
      <c r="AL26" s="246"/>
      <c r="AM26" s="246"/>
      <c r="AN26" s="246"/>
      <c r="AO26" s="246"/>
      <c r="AP26" s="246"/>
      <c r="AQ26" s="246"/>
      <c r="AS26" s="232" t="str">
        <f t="shared" si="1"/>
        <v/>
      </c>
      <c r="AT26" s="278">
        <f t="shared" si="5"/>
        <v>0</v>
      </c>
      <c r="AU26" s="278"/>
      <c r="AV26" s="278">
        <f t="shared" si="2"/>
        <v>0</v>
      </c>
      <c r="AW26" s="278">
        <f t="shared" si="6"/>
        <v>0</v>
      </c>
      <c r="AX26" s="232">
        <f t="shared" si="7"/>
        <v>0</v>
      </c>
      <c r="AY26" s="279">
        <f t="shared" si="0"/>
        <v>0</v>
      </c>
      <c r="AZ26" s="232">
        <f t="shared" si="4"/>
        <v>0</v>
      </c>
      <c r="BA26" s="232"/>
    </row>
    <row r="27" spans="1:54" ht="12.75" customHeight="1" x14ac:dyDescent="0.2">
      <c r="A27" s="246"/>
      <c r="B27" s="246"/>
      <c r="C27" s="246"/>
      <c r="D27" s="246"/>
      <c r="E27" s="238"/>
      <c r="F27" s="268" t="s">
        <v>282</v>
      </c>
      <c r="G27" s="489">
        <f>I21/I$24</f>
        <v>10.923360986849758</v>
      </c>
      <c r="H27" s="269" t="s">
        <v>568</v>
      </c>
      <c r="I27" s="266"/>
      <c r="J27" s="266"/>
      <c r="K27" s="270"/>
      <c r="L27" s="238"/>
      <c r="M27" s="238"/>
      <c r="N27" s="238"/>
      <c r="O27" s="263"/>
      <c r="P27" s="238"/>
      <c r="R27" s="347" t="s">
        <v>542</v>
      </c>
      <c r="S27" s="494">
        <f>V14*$R$37</f>
        <v>13.796337786140283</v>
      </c>
      <c r="T27" s="495"/>
      <c r="U27" s="496" t="s">
        <v>542</v>
      </c>
      <c r="V27" s="496"/>
      <c r="W27" s="497">
        <f>S27/S$23</f>
        <v>0.18096638950523733</v>
      </c>
      <c r="Y27" s="246"/>
      <c r="Z27" s="246"/>
      <c r="AA27" s="246"/>
      <c r="AB27" s="246"/>
      <c r="AC27" s="246"/>
      <c r="AD27" s="246"/>
      <c r="AE27" s="246"/>
      <c r="AF27" s="246"/>
      <c r="AG27" s="246"/>
      <c r="AH27" s="246"/>
      <c r="AI27" s="246"/>
      <c r="AJ27" s="246"/>
      <c r="AK27" s="246"/>
      <c r="AL27" s="246"/>
      <c r="AM27" s="246"/>
      <c r="AN27" s="246"/>
      <c r="AO27" s="246"/>
      <c r="AP27" s="246"/>
      <c r="AQ27" s="246"/>
      <c r="AS27" s="232" t="str">
        <f t="shared" si="1"/>
        <v/>
      </c>
      <c r="AT27" s="278">
        <f t="shared" si="5"/>
        <v>0</v>
      </c>
      <c r="AU27" s="278"/>
      <c r="AV27" s="278">
        <f t="shared" si="2"/>
        <v>0</v>
      </c>
      <c r="AW27" s="278">
        <f t="shared" si="6"/>
        <v>0</v>
      </c>
      <c r="AX27" s="232">
        <f t="shared" si="7"/>
        <v>0</v>
      </c>
      <c r="AY27" s="279">
        <f t="shared" si="0"/>
        <v>0</v>
      </c>
      <c r="AZ27" s="232">
        <f t="shared" si="4"/>
        <v>0</v>
      </c>
      <c r="BA27" s="288"/>
      <c r="BB27" s="246"/>
    </row>
    <row r="28" spans="1:54" s="246" customFormat="1" ht="14.5" customHeight="1" x14ac:dyDescent="0.2">
      <c r="E28" s="238"/>
      <c r="F28" s="268" t="s">
        <v>569</v>
      </c>
      <c r="G28" s="489">
        <f>I22/I$24</f>
        <v>5.6646971485964093</v>
      </c>
      <c r="H28" s="269" t="s">
        <v>568</v>
      </c>
      <c r="I28" s="266"/>
      <c r="J28" s="266"/>
      <c r="K28" s="270"/>
      <c r="L28" s="238"/>
      <c r="M28" s="238"/>
      <c r="N28" s="238"/>
      <c r="O28" s="263"/>
      <c r="P28" s="238"/>
      <c r="R28" s="345" t="s">
        <v>247</v>
      </c>
      <c r="S28" s="498"/>
      <c r="T28" s="495"/>
      <c r="U28" s="495"/>
      <c r="V28" s="495"/>
      <c r="W28" s="499" t="s">
        <v>280</v>
      </c>
      <c r="AS28" s="232" t="str">
        <f t="shared" si="1"/>
        <v/>
      </c>
      <c r="AT28" s="278">
        <f t="shared" si="5"/>
        <v>0</v>
      </c>
      <c r="AU28" s="278"/>
      <c r="AV28" s="278">
        <f t="shared" si="2"/>
        <v>0</v>
      </c>
      <c r="AW28" s="278">
        <f t="shared" si="6"/>
        <v>0</v>
      </c>
      <c r="AX28" s="232">
        <f>IF(ISNUMBER(AS29),SUM(AU28:AV28),SUM(AU28:AW28))</f>
        <v>0</v>
      </c>
      <c r="AY28" s="279">
        <f t="shared" si="0"/>
        <v>0</v>
      </c>
      <c r="AZ28" s="232">
        <f t="shared" si="4"/>
        <v>0</v>
      </c>
      <c r="BA28" s="232"/>
      <c r="BB28" s="233"/>
    </row>
    <row r="29" spans="1:54" ht="13.75" customHeight="1" x14ac:dyDescent="0.2">
      <c r="A29" s="246"/>
      <c r="B29" s="246"/>
      <c r="C29" s="246"/>
      <c r="D29" s="246"/>
      <c r="E29" s="238"/>
      <c r="F29" s="268" t="s">
        <v>407</v>
      </c>
      <c r="G29" s="489">
        <f>I23/I$24</f>
        <v>7.5305360196190261</v>
      </c>
      <c r="H29" s="269" t="s">
        <v>568</v>
      </c>
      <c r="I29" s="266"/>
      <c r="J29" s="266"/>
      <c r="K29" s="270"/>
      <c r="L29" s="238"/>
      <c r="M29" s="238"/>
      <c r="N29" s="238"/>
      <c r="O29" s="263"/>
      <c r="P29" s="238"/>
      <c r="Q29" s="344"/>
      <c r="R29" s="346" t="s">
        <v>570</v>
      </c>
      <c r="S29" s="494">
        <f>IFERROR(IF(S24-S$23&gt;0,S24-S$23,"N/A"),"N/A")</f>
        <v>74.465360531131239</v>
      </c>
      <c r="T29" s="500"/>
      <c r="U29" s="496"/>
      <c r="V29" s="496"/>
      <c r="W29" s="501" t="str">
        <f>IF(AND(S29&lt;&gt;"N/A",S29&gt;=$W$33),R29,"Bednets")</f>
        <v>Bednets</v>
      </c>
      <c r="Y29" s="246"/>
      <c r="Z29" s="246"/>
      <c r="AA29" s="246"/>
      <c r="AB29" s="246"/>
      <c r="AC29" s="246"/>
      <c r="AD29" s="246"/>
      <c r="AE29" s="246"/>
      <c r="AF29" s="246"/>
      <c r="AG29" s="246"/>
      <c r="AH29" s="246"/>
      <c r="AI29" s="246"/>
      <c r="AJ29" s="246"/>
      <c r="AK29" s="246"/>
      <c r="AL29" s="246"/>
      <c r="AM29" s="246"/>
      <c r="AN29" s="246"/>
      <c r="AO29" s="246"/>
      <c r="AP29" s="246"/>
      <c r="AQ29" s="246"/>
      <c r="AS29" s="232" t="str">
        <f>IF(AS28&lt;$D$14,AS28+1,"")</f>
        <v/>
      </c>
      <c r="AT29" s="278">
        <f>IF(ISNUMBER(AS29),AW28,0)</f>
        <v>0</v>
      </c>
      <c r="AU29" s="278"/>
      <c r="AV29" s="278">
        <f t="shared" si="2"/>
        <v>0</v>
      </c>
      <c r="AW29" s="278">
        <f t="shared" si="6"/>
        <v>0</v>
      </c>
      <c r="AX29" s="232">
        <f t="shared" si="7"/>
        <v>0</v>
      </c>
      <c r="AY29" s="279">
        <f t="shared" si="0"/>
        <v>0</v>
      </c>
      <c r="AZ29" s="232">
        <f t="shared" si="4"/>
        <v>0</v>
      </c>
      <c r="BA29" s="232"/>
    </row>
    <row r="30" spans="1:54" ht="13.5" customHeight="1" x14ac:dyDescent="0.2">
      <c r="A30" s="246"/>
      <c r="B30" s="246"/>
      <c r="C30" s="246"/>
      <c r="D30" s="246"/>
      <c r="E30" s="238"/>
      <c r="F30" s="247"/>
      <c r="G30" s="238"/>
      <c r="H30" s="238"/>
      <c r="I30" s="238"/>
      <c r="J30" s="263"/>
      <c r="K30" s="264"/>
      <c r="L30" s="238"/>
      <c r="M30" s="238"/>
      <c r="N30" s="238"/>
      <c r="O30" s="263"/>
      <c r="P30" s="238"/>
      <c r="Q30" s="344"/>
      <c r="R30" s="346" t="s">
        <v>560</v>
      </c>
      <c r="S30" s="494">
        <f>IFERROR(IF(S25-S$23&gt;0,S25-S$23,"N/A"),"N/A")</f>
        <v>1.9150579148270594</v>
      </c>
      <c r="T30" s="500"/>
      <c r="U30" s="496"/>
      <c r="V30" s="496"/>
      <c r="W30" s="501" t="str">
        <f>IF(AND(S30&lt;&gt;"N/A",S30&gt;=$W$33),R30,"Bednets")</f>
        <v>Bednets</v>
      </c>
      <c r="Y30" s="246"/>
      <c r="Z30" s="246"/>
      <c r="AA30" s="246"/>
      <c r="AB30" s="246"/>
      <c r="AC30" s="246"/>
      <c r="AD30" s="246"/>
      <c r="AE30" s="246"/>
      <c r="AF30" s="246"/>
      <c r="AG30" s="246"/>
      <c r="AH30" s="246"/>
      <c r="AI30" s="246"/>
      <c r="AJ30" s="246"/>
      <c r="AK30" s="246"/>
      <c r="AL30" s="246"/>
      <c r="AM30" s="246"/>
      <c r="AN30" s="246"/>
      <c r="AO30" s="246"/>
      <c r="AP30" s="246"/>
      <c r="AQ30" s="246"/>
      <c r="AS30" s="232" t="str">
        <f t="shared" si="1"/>
        <v/>
      </c>
      <c r="AT30" s="278">
        <f t="shared" si="5"/>
        <v>0</v>
      </c>
      <c r="AU30" s="278"/>
      <c r="AV30" s="278">
        <f t="shared" si="2"/>
        <v>0</v>
      </c>
      <c r="AW30" s="278">
        <f t="shared" si="6"/>
        <v>0</v>
      </c>
      <c r="AX30" s="232">
        <f>IF(ISNUMBER(AS33),SUM(AU30:AV30),SUM(AU30:AW30))</f>
        <v>0</v>
      </c>
      <c r="AY30" s="279">
        <f t="shared" si="0"/>
        <v>0</v>
      </c>
      <c r="AZ30" s="232">
        <f t="shared" si="4"/>
        <v>0</v>
      </c>
      <c r="BA30" s="232"/>
    </row>
    <row r="31" spans="1:54" ht="13.5" customHeight="1" x14ac:dyDescent="0.2">
      <c r="A31" s="246"/>
      <c r="B31" s="246"/>
      <c r="C31" s="246"/>
      <c r="D31" s="246"/>
      <c r="E31" s="238"/>
      <c r="F31" s="618" t="s">
        <v>446</v>
      </c>
      <c r="G31" s="261" t="s">
        <v>570</v>
      </c>
      <c r="H31" s="262"/>
      <c r="I31" s="431">
        <f>V9</f>
        <v>2235.6618966928731</v>
      </c>
      <c r="J31" s="263"/>
      <c r="K31" s="264"/>
      <c r="L31" s="238"/>
      <c r="M31" s="238"/>
      <c r="N31" s="238"/>
      <c r="O31" s="263"/>
      <c r="P31" s="238"/>
      <c r="Q31" s="286"/>
      <c r="R31" s="346" t="s">
        <v>390</v>
      </c>
      <c r="S31" s="494">
        <f>IFERROR(IF(S26-S$23&gt;0,S26-S$23,"N/A"),"N/A")</f>
        <v>27.656801233965723</v>
      </c>
      <c r="T31" s="500"/>
      <c r="U31" s="496"/>
      <c r="V31" s="496"/>
      <c r="W31" s="501" t="str">
        <f>IF(AND(S31&lt;&gt;"N/A",S31&gt;=$W$33),R31,"Bednets")</f>
        <v>Bednets</v>
      </c>
      <c r="Y31" s="246"/>
      <c r="Z31" s="246"/>
      <c r="AA31" s="246"/>
      <c r="AB31" s="246"/>
      <c r="AC31" s="246"/>
      <c r="AD31" s="246"/>
      <c r="AE31" s="246"/>
      <c r="AF31" s="246"/>
      <c r="AG31" s="246"/>
      <c r="AH31" s="246"/>
      <c r="AI31" s="246"/>
      <c r="AJ31" s="246"/>
      <c r="AK31" s="246"/>
      <c r="AL31" s="246"/>
      <c r="AM31" s="246"/>
      <c r="AN31" s="246"/>
      <c r="AO31" s="246"/>
      <c r="AP31" s="246"/>
      <c r="AQ31" s="246"/>
      <c r="AS31" s="232"/>
      <c r="AT31" s="278"/>
      <c r="AU31" s="278"/>
      <c r="AV31" s="278"/>
      <c r="AW31" s="278"/>
      <c r="AX31" s="232"/>
      <c r="AY31" s="279"/>
      <c r="AZ31" s="232"/>
      <c r="BA31" s="232"/>
    </row>
    <row r="32" spans="1:54" ht="13.5" customHeight="1" x14ac:dyDescent="0.2">
      <c r="A32" s="246"/>
      <c r="B32" s="246"/>
      <c r="C32" s="246"/>
      <c r="D32" s="246"/>
      <c r="E32" s="238"/>
      <c r="F32" s="618"/>
      <c r="G32" s="261" t="s">
        <v>560</v>
      </c>
      <c r="H32" s="262"/>
      <c r="I32" s="431">
        <f>V10</f>
        <v>4311.0763561600907</v>
      </c>
      <c r="J32" s="263"/>
      <c r="K32" s="264"/>
      <c r="L32" s="263"/>
      <c r="M32" s="263"/>
      <c r="N32" s="263"/>
      <c r="O32" s="263"/>
      <c r="P32" s="238"/>
      <c r="Q32" s="286"/>
      <c r="R32" s="352"/>
      <c r="S32" s="353"/>
      <c r="T32" s="353"/>
      <c r="U32" s="353"/>
      <c r="V32" s="353"/>
      <c r="W32" s="354"/>
      <c r="Y32" s="246"/>
      <c r="Z32" s="246"/>
      <c r="AA32" s="246"/>
      <c r="AB32" s="246"/>
      <c r="AC32" s="246"/>
      <c r="AD32" s="246"/>
      <c r="AE32" s="246"/>
      <c r="AF32" s="246"/>
      <c r="AG32" s="246"/>
      <c r="AH32" s="246"/>
      <c r="AI32" s="246"/>
      <c r="AJ32" s="246"/>
      <c r="AK32" s="246"/>
      <c r="AL32" s="246"/>
      <c r="AM32" s="246"/>
      <c r="AN32" s="246"/>
      <c r="AO32" s="246"/>
      <c r="AP32" s="246"/>
      <c r="AQ32" s="246"/>
      <c r="AS32" s="232"/>
      <c r="AT32" s="278"/>
      <c r="AU32" s="278"/>
      <c r="AV32" s="278"/>
      <c r="AW32" s="278"/>
      <c r="AX32" s="232"/>
      <c r="AY32" s="279"/>
      <c r="AZ32" s="232"/>
      <c r="BA32" s="232"/>
    </row>
    <row r="33" spans="1:53" ht="13.75" customHeight="1" thickBot="1" x14ac:dyDescent="0.25">
      <c r="A33" s="246"/>
      <c r="B33" s="246"/>
      <c r="C33" s="246"/>
      <c r="D33" s="246"/>
      <c r="E33" s="246"/>
      <c r="F33" s="618"/>
      <c r="G33" s="261" t="s">
        <v>566</v>
      </c>
      <c r="H33" s="262"/>
      <c r="I33" s="431">
        <f>V11</f>
        <v>1728.2954604020422</v>
      </c>
      <c r="J33" s="238"/>
      <c r="K33" s="244"/>
      <c r="L33" s="238"/>
      <c r="M33" s="238"/>
      <c r="N33" s="238"/>
      <c r="O33" s="238"/>
      <c r="P33" s="246"/>
      <c r="Q33" s="286"/>
      <c r="R33" s="642" t="s">
        <v>248</v>
      </c>
      <c r="S33" s="643"/>
      <c r="T33" s="643"/>
      <c r="U33" s="643"/>
      <c r="V33" s="643"/>
      <c r="W33" s="502">
        <f>$G$10*U37</f>
        <v>118.70625000000001</v>
      </c>
      <c r="X33" s="286"/>
      <c r="Y33" s="286"/>
      <c r="Z33" s="246"/>
      <c r="AA33" s="246"/>
      <c r="AB33" s="246"/>
      <c r="AC33" s="246"/>
      <c r="AD33" s="246"/>
      <c r="AE33" s="246"/>
      <c r="AF33" s="246"/>
      <c r="AG33" s="246"/>
      <c r="AH33" s="246"/>
      <c r="AI33" s="246"/>
      <c r="AJ33" s="246"/>
      <c r="AK33" s="246"/>
      <c r="AL33" s="246"/>
      <c r="AM33" s="246"/>
      <c r="AN33" s="246"/>
      <c r="AO33" s="246"/>
      <c r="AP33" s="246"/>
      <c r="AQ33" s="246"/>
      <c r="AS33" s="232" t="str">
        <f>IF(AS30&lt;$D$14,AS30+1,"")</f>
        <v/>
      </c>
      <c r="AT33" s="278">
        <f>IF(ISNUMBER(AS33),AW30,0)</f>
        <v>0</v>
      </c>
      <c r="AU33" s="278"/>
      <c r="AV33" s="278">
        <f t="shared" si="2"/>
        <v>0</v>
      </c>
      <c r="AW33" s="278">
        <f t="shared" si="6"/>
        <v>0</v>
      </c>
      <c r="AX33" s="232">
        <f>IF(ISNUMBER(AS35),SUM(AU33:AV33),SUM(AU33:AW33))</f>
        <v>0</v>
      </c>
      <c r="AY33" s="279">
        <f>LN(AX33+$J$37)-LN($J$37)</f>
        <v>0</v>
      </c>
      <c r="AZ33" s="232">
        <f t="shared" si="4"/>
        <v>0</v>
      </c>
    </row>
    <row r="34" spans="1:53" ht="13.75" customHeight="1" thickBot="1" x14ac:dyDescent="0.25">
      <c r="A34" s="246"/>
      <c r="B34" s="246"/>
      <c r="C34" s="246"/>
      <c r="D34" s="246"/>
      <c r="E34" s="246"/>
      <c r="F34" s="641"/>
      <c r="G34" s="289" t="s">
        <v>390</v>
      </c>
      <c r="H34" s="290"/>
      <c r="I34" s="432" t="str">
        <f>V12</f>
        <v>-</v>
      </c>
      <c r="J34" s="239"/>
      <c r="K34" s="325"/>
      <c r="L34" s="238"/>
      <c r="M34" s="238"/>
      <c r="N34" s="238"/>
      <c r="O34" s="238"/>
      <c r="P34" s="246"/>
      <c r="Q34" s="286"/>
      <c r="R34" s="378"/>
      <c r="S34" s="378"/>
      <c r="T34" s="378"/>
      <c r="U34" s="378"/>
      <c r="V34" s="378"/>
      <c r="W34" s="287"/>
      <c r="X34" s="287"/>
      <c r="Y34" s="286"/>
      <c r="Z34" s="246"/>
      <c r="AA34" s="246"/>
      <c r="AB34" s="246"/>
      <c r="AC34" s="246"/>
      <c r="AD34" s="246"/>
      <c r="AE34" s="246"/>
      <c r="AF34" s="246"/>
      <c r="AG34" s="246"/>
      <c r="AH34" s="246"/>
      <c r="AI34" s="246"/>
      <c r="AJ34" s="246"/>
      <c r="AK34" s="246"/>
      <c r="AL34" s="246"/>
      <c r="AM34" s="246"/>
      <c r="AN34" s="246"/>
      <c r="AO34" s="246"/>
      <c r="AP34" s="246"/>
      <c r="AQ34" s="246"/>
      <c r="AS34" s="232"/>
      <c r="AT34" s="278"/>
      <c r="AU34" s="278"/>
      <c r="AV34" s="278"/>
      <c r="AW34" s="278"/>
      <c r="AX34" s="232"/>
      <c r="AY34" s="279"/>
      <c r="AZ34" s="232"/>
    </row>
    <row r="35" spans="1:53" ht="51" customHeight="1" thickBot="1" x14ac:dyDescent="0.25">
      <c r="B35" s="246"/>
      <c r="C35" s="246"/>
      <c r="D35" s="246"/>
      <c r="E35" s="246"/>
      <c r="F35" s="246"/>
      <c r="G35" s="246"/>
      <c r="H35" s="246"/>
      <c r="I35" s="309"/>
      <c r="J35" s="309"/>
      <c r="K35" s="246"/>
      <c r="L35" s="246"/>
      <c r="M35" s="246"/>
      <c r="N35" s="246"/>
      <c r="O35" s="246"/>
      <c r="P35" s="246"/>
      <c r="Q35" s="286"/>
      <c r="R35" s="286"/>
      <c r="S35" s="286"/>
      <c r="T35" s="286"/>
      <c r="U35" s="286"/>
      <c r="W35" s="246"/>
      <c r="Y35" s="286"/>
      <c r="Z35" s="246"/>
      <c r="AA35" s="246"/>
      <c r="AB35" s="246"/>
      <c r="AC35" s="246"/>
      <c r="AD35" s="246"/>
      <c r="AE35" s="246"/>
      <c r="AF35" s="246"/>
      <c r="AG35" s="246"/>
      <c r="AH35" s="246"/>
      <c r="AI35" s="246"/>
      <c r="AJ35" s="246"/>
      <c r="AK35" s="246"/>
      <c r="AL35" s="246"/>
      <c r="AM35" s="246"/>
      <c r="AN35" s="246"/>
      <c r="AR35" s="232"/>
      <c r="AS35" s="232" t="str">
        <f>IF(AS33&lt;$D$14,AS33+1,"")</f>
        <v/>
      </c>
      <c r="AT35" s="278">
        <f>IF(ISNUMBER(AS35),AW33,0)</f>
        <v>0</v>
      </c>
      <c r="AU35" s="278"/>
      <c r="AV35" s="278">
        <f t="shared" si="2"/>
        <v>0</v>
      </c>
      <c r="AW35" s="278">
        <f t="shared" si="6"/>
        <v>0</v>
      </c>
      <c r="AX35" s="232">
        <f t="shared" si="7"/>
        <v>0</v>
      </c>
      <c r="AY35" s="279">
        <f>LN(AX35+$J$37)-LN($J$37)</f>
        <v>0</v>
      </c>
      <c r="AZ35" s="232">
        <f t="shared" si="4"/>
        <v>0</v>
      </c>
    </row>
    <row r="36" spans="1:53" ht="31.5" customHeight="1" x14ac:dyDescent="0.2">
      <c r="A36" s="246"/>
      <c r="B36" s="644" t="s">
        <v>557</v>
      </c>
      <c r="C36" s="248"/>
      <c r="D36" s="647" t="s">
        <v>552</v>
      </c>
      <c r="E36" s="648"/>
      <c r="F36" s="649"/>
      <c r="G36" s="250" t="s">
        <v>544</v>
      </c>
      <c r="H36" s="647" t="s">
        <v>555</v>
      </c>
      <c r="I36" s="649"/>
      <c r="J36" s="647" t="s">
        <v>554</v>
      </c>
      <c r="K36" s="648"/>
      <c r="L36" s="648"/>
      <c r="M36" s="648"/>
      <c r="N36" s="649"/>
      <c r="O36" s="647" t="s">
        <v>545</v>
      </c>
      <c r="P36" s="649"/>
      <c r="Q36" s="470" t="s">
        <v>546</v>
      </c>
      <c r="R36" s="281" t="s">
        <v>441</v>
      </c>
      <c r="S36" s="466" t="s">
        <v>553</v>
      </c>
      <c r="T36" s="467"/>
      <c r="U36" s="281" t="s">
        <v>435</v>
      </c>
      <c r="V36" s="281" t="s">
        <v>401</v>
      </c>
      <c r="W36" s="283" t="s">
        <v>404</v>
      </c>
      <c r="X36" s="212"/>
      <c r="Y36" s="246"/>
      <c r="Z36" s="246"/>
      <c r="AA36" s="246"/>
      <c r="AB36" s="246"/>
      <c r="AC36" s="246"/>
      <c r="AD36" s="246"/>
      <c r="AE36" s="246"/>
      <c r="AF36" s="246"/>
      <c r="AG36" s="246"/>
      <c r="AH36" s="246"/>
      <c r="AI36" s="246"/>
      <c r="AJ36" s="246"/>
      <c r="AK36" s="246"/>
      <c r="AL36" s="246"/>
      <c r="AM36" s="246"/>
      <c r="AN36" s="246"/>
      <c r="AR36" s="232"/>
      <c r="AS36" s="232" t="str">
        <f t="shared" si="1"/>
        <v/>
      </c>
      <c r="AT36" s="278">
        <f t="shared" si="5"/>
        <v>0</v>
      </c>
      <c r="AU36" s="278"/>
      <c r="AV36" s="278">
        <f t="shared" si="2"/>
        <v>0</v>
      </c>
      <c r="AW36" s="278">
        <f t="shared" si="6"/>
        <v>0</v>
      </c>
      <c r="AX36" s="232">
        <f t="shared" si="7"/>
        <v>0</v>
      </c>
      <c r="AY36" s="279">
        <f>LN(AX36+$J$37)-LN($J$37)</f>
        <v>0</v>
      </c>
      <c r="AZ36" s="232">
        <f t="shared" si="4"/>
        <v>0</v>
      </c>
      <c r="BA36" s="232"/>
    </row>
    <row r="37" spans="1:53" ht="12" customHeight="1" x14ac:dyDescent="0.2">
      <c r="A37" s="246"/>
      <c r="B37" s="645"/>
      <c r="C37" s="251" t="s">
        <v>548</v>
      </c>
      <c r="D37" s="650">
        <f>Parameters!$D$29</f>
        <v>0.26900000000000002</v>
      </c>
      <c r="E37" s="651"/>
      <c r="F37" s="652"/>
      <c r="G37" s="255">
        <f>Parameters!$D$30</f>
        <v>2.41</v>
      </c>
      <c r="H37" s="653">
        <f>Parameters!$D$61</f>
        <v>4.7</v>
      </c>
      <c r="I37" s="654"/>
      <c r="J37" s="629">
        <f>Parameters!$D$58</f>
        <v>285.92228810603416</v>
      </c>
      <c r="K37" s="630"/>
      <c r="L37" s="630"/>
      <c r="M37" s="630"/>
      <c r="N37" s="631"/>
      <c r="O37" s="632">
        <f>Parameters!$D$59</f>
        <v>1000</v>
      </c>
      <c r="P37" s="633"/>
      <c r="Q37" s="280">
        <f>Parameters!$D$60</f>
        <v>212.7659574468085</v>
      </c>
      <c r="R37" s="282">
        <f>Parameters!$D$49</f>
        <v>2838.2630576673801</v>
      </c>
      <c r="S37" s="282">
        <f>Parameters!$D$50</f>
        <v>3.6112369528824271</v>
      </c>
      <c r="T37" s="464"/>
      <c r="U37" s="340">
        <f>Parameters!$D$11</f>
        <v>36.525000000000006</v>
      </c>
      <c r="V37" s="328">
        <f>Parameters!$D$45</f>
        <v>15</v>
      </c>
      <c r="W37" s="320">
        <f>Parameters!$D$46</f>
        <v>0.43099999999999999</v>
      </c>
      <c r="X37" s="316"/>
      <c r="Y37" s="246"/>
      <c r="Z37" s="238"/>
      <c r="AA37" s="246"/>
      <c r="AB37" s="246"/>
      <c r="AC37" s="246"/>
      <c r="AD37" s="246"/>
      <c r="AE37" s="246"/>
      <c r="AF37" s="246"/>
      <c r="AG37" s="246"/>
      <c r="AH37" s="246"/>
      <c r="AI37" s="246"/>
      <c r="AJ37" s="246"/>
      <c r="AK37" s="246"/>
      <c r="AL37" s="246"/>
      <c r="AM37" s="246"/>
      <c r="AN37" s="246"/>
      <c r="AO37" s="246"/>
      <c r="AS37" s="232" t="str">
        <f t="shared" si="1"/>
        <v/>
      </c>
      <c r="AT37" s="278">
        <f t="shared" si="5"/>
        <v>0</v>
      </c>
      <c r="AU37" s="278"/>
      <c r="AV37" s="278">
        <f t="shared" si="2"/>
        <v>0</v>
      </c>
      <c r="AW37" s="278">
        <f t="shared" si="6"/>
        <v>0</v>
      </c>
      <c r="AX37" s="232">
        <f t="shared" si="7"/>
        <v>0</v>
      </c>
      <c r="AY37" s="279">
        <f>LN(AX37+$J$37)-LN($J$37)</f>
        <v>0</v>
      </c>
      <c r="AZ37" s="232">
        <f t="shared" si="4"/>
        <v>0</v>
      </c>
      <c r="BA37" s="232"/>
    </row>
    <row r="38" spans="1:53" ht="12" customHeight="1" thickBot="1" x14ac:dyDescent="0.25">
      <c r="A38" s="246"/>
      <c r="B38" s="646"/>
      <c r="C38" s="252" t="s">
        <v>549</v>
      </c>
      <c r="D38" s="634" t="s">
        <v>218</v>
      </c>
      <c r="E38" s="635"/>
      <c r="F38" s="635"/>
      <c r="G38" s="636"/>
      <c r="H38" s="392" t="s">
        <v>551</v>
      </c>
      <c r="I38" s="393"/>
      <c r="J38" s="393"/>
      <c r="K38" s="393"/>
      <c r="L38" s="393"/>
      <c r="M38" s="393"/>
      <c r="N38" s="393"/>
      <c r="O38" s="393"/>
      <c r="P38" s="393"/>
      <c r="Q38" s="394"/>
      <c r="R38" s="634" t="s">
        <v>131</v>
      </c>
      <c r="S38" s="635"/>
      <c r="T38" s="636"/>
      <c r="U38" s="329" t="s">
        <v>253</v>
      </c>
      <c r="V38" s="330" t="s">
        <v>402</v>
      </c>
      <c r="W38" s="331" t="s">
        <v>349</v>
      </c>
      <c r="X38" s="429"/>
      <c r="Y38" s="246"/>
      <c r="Z38" s="238"/>
      <c r="AA38" s="246"/>
      <c r="AB38" s="246"/>
      <c r="AC38" s="246"/>
      <c r="AD38" s="246"/>
      <c r="AE38" s="246"/>
      <c r="AF38" s="246"/>
      <c r="AG38" s="246"/>
      <c r="AH38" s="246"/>
      <c r="AI38" s="246"/>
      <c r="AJ38" s="246"/>
      <c r="AK38" s="246"/>
      <c r="AL38" s="246"/>
      <c r="AM38" s="246"/>
      <c r="AN38" s="246"/>
      <c r="AO38" s="246"/>
      <c r="AP38" s="246"/>
      <c r="AQ38" s="246"/>
      <c r="AS38" s="232" t="str">
        <f t="shared" si="1"/>
        <v/>
      </c>
      <c r="AT38" s="278">
        <f t="shared" si="5"/>
        <v>0</v>
      </c>
      <c r="AU38" s="278"/>
      <c r="AV38" s="278">
        <f t="shared" si="2"/>
        <v>0</v>
      </c>
      <c r="AW38" s="278">
        <f t="shared" si="6"/>
        <v>0</v>
      </c>
      <c r="AX38" s="232">
        <f t="shared" si="7"/>
        <v>0</v>
      </c>
      <c r="AY38" s="279">
        <f>LN(AX38+$J$37)-LN($J$37)</f>
        <v>0</v>
      </c>
      <c r="AZ38" s="232">
        <f t="shared" si="4"/>
        <v>0</v>
      </c>
      <c r="BA38" s="232"/>
    </row>
    <row r="39" spans="1:53" s="246" customFormat="1" ht="15" x14ac:dyDescent="0.2">
      <c r="J39" s="309"/>
      <c r="K39" s="309"/>
      <c r="L39" s="309"/>
      <c r="M39" s="309"/>
      <c r="Z39" s="238"/>
      <c r="AS39" s="288" t="str">
        <f t="shared" si="1"/>
        <v/>
      </c>
      <c r="AT39" s="326">
        <f t="shared" si="5"/>
        <v>0</v>
      </c>
      <c r="AU39" s="326"/>
      <c r="AV39" s="326">
        <f t="shared" si="2"/>
        <v>0</v>
      </c>
      <c r="AW39" s="326">
        <f t="shared" si="6"/>
        <v>0</v>
      </c>
      <c r="AX39" s="288">
        <f t="shared" si="7"/>
        <v>0</v>
      </c>
      <c r="AY39" s="327">
        <f t="shared" ref="AY39:AY102" si="8">LN(AX39+$J$37)-LN($J$37)</f>
        <v>0</v>
      </c>
      <c r="AZ39" s="288">
        <f t="shared" si="4"/>
        <v>0</v>
      </c>
      <c r="BA39" s="288"/>
    </row>
    <row r="40" spans="1:53" s="246" customFormat="1" ht="15" x14ac:dyDescent="0.2">
      <c r="R40" s="309"/>
      <c r="AS40" s="288" t="str">
        <f t="shared" si="1"/>
        <v/>
      </c>
      <c r="AT40" s="326">
        <f t="shared" si="5"/>
        <v>0</v>
      </c>
      <c r="AU40" s="326"/>
      <c r="AV40" s="326">
        <f t="shared" si="2"/>
        <v>0</v>
      </c>
      <c r="AW40" s="326">
        <f t="shared" si="6"/>
        <v>0</v>
      </c>
      <c r="AX40" s="288">
        <f t="shared" si="7"/>
        <v>0</v>
      </c>
      <c r="AY40" s="327">
        <f t="shared" si="8"/>
        <v>0</v>
      </c>
      <c r="AZ40" s="288">
        <f t="shared" si="4"/>
        <v>0</v>
      </c>
      <c r="BA40" s="288"/>
    </row>
    <row r="41" spans="1:53" s="246" customFormat="1" ht="15" x14ac:dyDescent="0.2">
      <c r="R41" s="309"/>
      <c r="AS41" s="288" t="str">
        <f t="shared" si="1"/>
        <v/>
      </c>
      <c r="AT41" s="326">
        <f t="shared" si="5"/>
        <v>0</v>
      </c>
      <c r="AU41" s="326"/>
      <c r="AV41" s="326">
        <f t="shared" si="2"/>
        <v>0</v>
      </c>
      <c r="AW41" s="326">
        <f t="shared" si="6"/>
        <v>0</v>
      </c>
      <c r="AX41" s="288">
        <f t="shared" si="7"/>
        <v>0</v>
      </c>
      <c r="AY41" s="327">
        <f t="shared" si="8"/>
        <v>0</v>
      </c>
      <c r="AZ41" s="288">
        <f t="shared" si="4"/>
        <v>0</v>
      </c>
      <c r="BA41" s="288"/>
    </row>
    <row r="42" spans="1:53" s="246" customFormat="1" ht="15" x14ac:dyDescent="0.2">
      <c r="R42" s="309"/>
      <c r="S42" s="410"/>
      <c r="AS42" s="288" t="str">
        <f t="shared" si="1"/>
        <v/>
      </c>
      <c r="AT42" s="326">
        <f t="shared" si="5"/>
        <v>0</v>
      </c>
      <c r="AU42" s="326"/>
      <c r="AV42" s="326">
        <f t="shared" si="2"/>
        <v>0</v>
      </c>
      <c r="AW42" s="326">
        <f t="shared" si="6"/>
        <v>0</v>
      </c>
      <c r="AX42" s="288">
        <f t="shared" si="7"/>
        <v>0</v>
      </c>
      <c r="AY42" s="327">
        <f t="shared" si="8"/>
        <v>0</v>
      </c>
      <c r="AZ42" s="288">
        <f t="shared" si="4"/>
        <v>0</v>
      </c>
      <c r="BA42" s="288"/>
    </row>
    <row r="43" spans="1:53" s="246" customFormat="1" ht="15" x14ac:dyDescent="0.2">
      <c r="R43" s="412"/>
      <c r="S43" s="387"/>
      <c r="AS43" s="288" t="str">
        <f t="shared" si="1"/>
        <v/>
      </c>
      <c r="AT43" s="326">
        <f t="shared" si="5"/>
        <v>0</v>
      </c>
      <c r="AU43" s="326"/>
      <c r="AV43" s="326">
        <f t="shared" si="2"/>
        <v>0</v>
      </c>
      <c r="AW43" s="326">
        <f t="shared" si="6"/>
        <v>0</v>
      </c>
      <c r="AX43" s="288">
        <f t="shared" si="7"/>
        <v>0</v>
      </c>
      <c r="AY43" s="327">
        <f t="shared" si="8"/>
        <v>0</v>
      </c>
      <c r="AZ43" s="288">
        <f t="shared" si="4"/>
        <v>0</v>
      </c>
      <c r="BA43" s="288"/>
    </row>
    <row r="44" spans="1:53" s="246" customFormat="1" ht="15" x14ac:dyDescent="0.2">
      <c r="S44" s="387"/>
      <c r="AS44" s="288" t="str">
        <f t="shared" si="1"/>
        <v/>
      </c>
      <c r="AT44" s="326">
        <f t="shared" si="5"/>
        <v>0</v>
      </c>
      <c r="AU44" s="326"/>
      <c r="AV44" s="326">
        <f t="shared" si="2"/>
        <v>0</v>
      </c>
      <c r="AW44" s="326">
        <f t="shared" si="6"/>
        <v>0</v>
      </c>
      <c r="AX44" s="288">
        <f t="shared" si="7"/>
        <v>0</v>
      </c>
      <c r="AY44" s="327">
        <f t="shared" si="8"/>
        <v>0</v>
      </c>
      <c r="AZ44" s="288">
        <f t="shared" si="4"/>
        <v>0</v>
      </c>
      <c r="BA44" s="288"/>
    </row>
    <row r="45" spans="1:53" s="246" customFormat="1" ht="15" x14ac:dyDescent="0.2">
      <c r="S45" s="387"/>
      <c r="AS45" s="288" t="str">
        <f t="shared" si="1"/>
        <v/>
      </c>
      <c r="AT45" s="326">
        <f t="shared" si="5"/>
        <v>0</v>
      </c>
      <c r="AU45" s="326"/>
      <c r="AV45" s="326">
        <f t="shared" si="2"/>
        <v>0</v>
      </c>
      <c r="AW45" s="326">
        <f t="shared" si="6"/>
        <v>0</v>
      </c>
      <c r="AX45" s="288">
        <f t="shared" si="7"/>
        <v>0</v>
      </c>
      <c r="AY45" s="327">
        <f t="shared" si="8"/>
        <v>0</v>
      </c>
      <c r="AZ45" s="288">
        <f t="shared" si="4"/>
        <v>0</v>
      </c>
      <c r="BA45" s="288"/>
    </row>
    <row r="46" spans="1:53" s="246" customFormat="1" ht="15" x14ac:dyDescent="0.2">
      <c r="S46" s="387"/>
      <c r="AS46" s="288" t="str">
        <f t="shared" si="1"/>
        <v/>
      </c>
      <c r="AT46" s="326">
        <f t="shared" si="5"/>
        <v>0</v>
      </c>
      <c r="AU46" s="326"/>
      <c r="AV46" s="326">
        <f t="shared" si="2"/>
        <v>0</v>
      </c>
      <c r="AW46" s="326">
        <f t="shared" si="6"/>
        <v>0</v>
      </c>
      <c r="AX46" s="288">
        <f t="shared" si="7"/>
        <v>0</v>
      </c>
      <c r="AY46" s="327">
        <f t="shared" si="8"/>
        <v>0</v>
      </c>
      <c r="AZ46" s="288">
        <f t="shared" si="4"/>
        <v>0</v>
      </c>
      <c r="BA46" s="288"/>
    </row>
    <row r="47" spans="1:53" s="246" customFormat="1" ht="15" x14ac:dyDescent="0.2">
      <c r="S47" s="387"/>
      <c r="AS47" s="288" t="str">
        <f t="shared" si="1"/>
        <v/>
      </c>
      <c r="AT47" s="326">
        <f t="shared" si="5"/>
        <v>0</v>
      </c>
      <c r="AU47" s="326"/>
      <c r="AV47" s="326">
        <f t="shared" si="2"/>
        <v>0</v>
      </c>
      <c r="AW47" s="326">
        <f t="shared" si="6"/>
        <v>0</v>
      </c>
      <c r="AX47" s="288">
        <f t="shared" si="7"/>
        <v>0</v>
      </c>
      <c r="AY47" s="327">
        <f t="shared" si="8"/>
        <v>0</v>
      </c>
      <c r="AZ47" s="288">
        <f t="shared" si="4"/>
        <v>0</v>
      </c>
      <c r="BA47" s="288"/>
    </row>
    <row r="48" spans="1:53" s="246" customFormat="1" ht="15" x14ac:dyDescent="0.2">
      <c r="AS48" s="288" t="str">
        <f t="shared" si="1"/>
        <v/>
      </c>
      <c r="AT48" s="326">
        <f t="shared" si="5"/>
        <v>0</v>
      </c>
      <c r="AU48" s="326"/>
      <c r="AV48" s="326">
        <f t="shared" si="2"/>
        <v>0</v>
      </c>
      <c r="AW48" s="326">
        <f t="shared" si="6"/>
        <v>0</v>
      </c>
      <c r="AX48" s="288">
        <f t="shared" si="7"/>
        <v>0</v>
      </c>
      <c r="AY48" s="327">
        <f t="shared" si="8"/>
        <v>0</v>
      </c>
      <c r="AZ48" s="288">
        <f t="shared" si="4"/>
        <v>0</v>
      </c>
      <c r="BA48" s="288"/>
    </row>
    <row r="49" spans="45:53" s="246" customFormat="1" ht="15" x14ac:dyDescent="0.2">
      <c r="AS49" s="288" t="str">
        <f t="shared" si="1"/>
        <v/>
      </c>
      <c r="AT49" s="326">
        <f t="shared" si="5"/>
        <v>0</v>
      </c>
      <c r="AU49" s="326"/>
      <c r="AV49" s="326">
        <f t="shared" si="2"/>
        <v>0</v>
      </c>
      <c r="AW49" s="326">
        <f t="shared" si="6"/>
        <v>0</v>
      </c>
      <c r="AX49" s="288">
        <f t="shared" si="7"/>
        <v>0</v>
      </c>
      <c r="AY49" s="327">
        <f t="shared" si="8"/>
        <v>0</v>
      </c>
      <c r="AZ49" s="288">
        <f t="shared" si="4"/>
        <v>0</v>
      </c>
      <c r="BA49" s="288"/>
    </row>
    <row r="50" spans="45:53" s="246" customFormat="1" ht="15" x14ac:dyDescent="0.2">
      <c r="AS50" s="288" t="str">
        <f t="shared" si="1"/>
        <v/>
      </c>
      <c r="AT50" s="326">
        <f t="shared" si="5"/>
        <v>0</v>
      </c>
      <c r="AU50" s="326"/>
      <c r="AV50" s="326">
        <f t="shared" si="2"/>
        <v>0</v>
      </c>
      <c r="AW50" s="326">
        <f t="shared" si="6"/>
        <v>0</v>
      </c>
      <c r="AX50" s="288">
        <f t="shared" si="7"/>
        <v>0</v>
      </c>
      <c r="AY50" s="327">
        <f t="shared" si="8"/>
        <v>0</v>
      </c>
      <c r="AZ50" s="288">
        <f t="shared" si="4"/>
        <v>0</v>
      </c>
      <c r="BA50" s="288"/>
    </row>
    <row r="51" spans="45:53" s="246" customFormat="1" ht="15" x14ac:dyDescent="0.2">
      <c r="AS51" s="288" t="str">
        <f t="shared" si="1"/>
        <v/>
      </c>
      <c r="AT51" s="326">
        <f t="shared" si="5"/>
        <v>0</v>
      </c>
      <c r="AU51" s="326"/>
      <c r="AV51" s="326">
        <f t="shared" si="2"/>
        <v>0</v>
      </c>
      <c r="AW51" s="326">
        <f t="shared" si="6"/>
        <v>0</v>
      </c>
      <c r="AX51" s="288">
        <f t="shared" si="7"/>
        <v>0</v>
      </c>
      <c r="AY51" s="327">
        <f t="shared" si="8"/>
        <v>0</v>
      </c>
      <c r="AZ51" s="288">
        <f t="shared" si="4"/>
        <v>0</v>
      </c>
      <c r="BA51" s="288"/>
    </row>
    <row r="52" spans="45:53" s="246" customFormat="1" ht="15" x14ac:dyDescent="0.2">
      <c r="AS52" s="288" t="str">
        <f t="shared" si="1"/>
        <v/>
      </c>
      <c r="AT52" s="326">
        <f t="shared" si="5"/>
        <v>0</v>
      </c>
      <c r="AU52" s="326"/>
      <c r="AV52" s="326">
        <f t="shared" si="2"/>
        <v>0</v>
      </c>
      <c r="AW52" s="326">
        <f t="shared" si="6"/>
        <v>0</v>
      </c>
      <c r="AX52" s="288">
        <f t="shared" si="7"/>
        <v>0</v>
      </c>
      <c r="AY52" s="327">
        <f t="shared" si="8"/>
        <v>0</v>
      </c>
      <c r="AZ52" s="288">
        <f t="shared" si="4"/>
        <v>0</v>
      </c>
      <c r="BA52" s="288"/>
    </row>
    <row r="53" spans="45:53" s="246" customFormat="1" ht="15" x14ac:dyDescent="0.2">
      <c r="AS53" s="288" t="str">
        <f t="shared" si="1"/>
        <v/>
      </c>
      <c r="AT53" s="326">
        <f t="shared" si="5"/>
        <v>0</v>
      </c>
      <c r="AU53" s="326"/>
      <c r="AV53" s="326">
        <f t="shared" si="2"/>
        <v>0</v>
      </c>
      <c r="AW53" s="326">
        <f t="shared" si="6"/>
        <v>0</v>
      </c>
      <c r="AX53" s="288">
        <f t="shared" si="7"/>
        <v>0</v>
      </c>
      <c r="AY53" s="327">
        <f t="shared" si="8"/>
        <v>0</v>
      </c>
      <c r="AZ53" s="288">
        <f t="shared" si="4"/>
        <v>0</v>
      </c>
      <c r="BA53" s="288"/>
    </row>
    <row r="54" spans="45:53" s="246" customFormat="1" ht="15" x14ac:dyDescent="0.2">
      <c r="AS54" s="288" t="str">
        <f t="shared" si="1"/>
        <v/>
      </c>
      <c r="AT54" s="326">
        <f t="shared" si="5"/>
        <v>0</v>
      </c>
      <c r="AU54" s="326"/>
      <c r="AV54" s="326">
        <f t="shared" si="2"/>
        <v>0</v>
      </c>
      <c r="AW54" s="326">
        <f t="shared" si="6"/>
        <v>0</v>
      </c>
      <c r="AX54" s="288">
        <f t="shared" si="7"/>
        <v>0</v>
      </c>
      <c r="AY54" s="327">
        <f t="shared" si="8"/>
        <v>0</v>
      </c>
      <c r="AZ54" s="288">
        <f t="shared" si="4"/>
        <v>0</v>
      </c>
      <c r="BA54" s="288"/>
    </row>
    <row r="55" spans="45:53" s="246" customFormat="1" ht="15" x14ac:dyDescent="0.2">
      <c r="AS55" s="288" t="str">
        <f t="shared" si="1"/>
        <v/>
      </c>
      <c r="AT55" s="326">
        <f t="shared" si="5"/>
        <v>0</v>
      </c>
      <c r="AU55" s="326"/>
      <c r="AV55" s="326">
        <f t="shared" si="2"/>
        <v>0</v>
      </c>
      <c r="AW55" s="326">
        <f t="shared" si="6"/>
        <v>0</v>
      </c>
      <c r="AX55" s="288">
        <f t="shared" si="7"/>
        <v>0</v>
      </c>
      <c r="AY55" s="327">
        <f t="shared" si="8"/>
        <v>0</v>
      </c>
      <c r="AZ55" s="288">
        <f t="shared" si="4"/>
        <v>0</v>
      </c>
      <c r="BA55" s="288"/>
    </row>
    <row r="56" spans="45:53" s="246" customFormat="1" ht="15" x14ac:dyDescent="0.2">
      <c r="AS56" s="288" t="str">
        <f t="shared" si="1"/>
        <v/>
      </c>
      <c r="AT56" s="326">
        <f t="shared" si="5"/>
        <v>0</v>
      </c>
      <c r="AU56" s="326"/>
      <c r="AV56" s="326">
        <f t="shared" si="2"/>
        <v>0</v>
      </c>
      <c r="AW56" s="326">
        <f t="shared" si="6"/>
        <v>0</v>
      </c>
      <c r="AX56" s="288">
        <f t="shared" si="7"/>
        <v>0</v>
      </c>
      <c r="AY56" s="327">
        <f t="shared" si="8"/>
        <v>0</v>
      </c>
      <c r="AZ56" s="288">
        <f t="shared" si="4"/>
        <v>0</v>
      </c>
      <c r="BA56" s="288"/>
    </row>
    <row r="57" spans="45:53" s="246" customFormat="1" ht="15" x14ac:dyDescent="0.2">
      <c r="AS57" s="288" t="str">
        <f t="shared" si="1"/>
        <v/>
      </c>
      <c r="AT57" s="326">
        <f t="shared" si="5"/>
        <v>0</v>
      </c>
      <c r="AU57" s="326"/>
      <c r="AV57" s="326">
        <f t="shared" si="2"/>
        <v>0</v>
      </c>
      <c r="AW57" s="326">
        <f t="shared" si="6"/>
        <v>0</v>
      </c>
      <c r="AX57" s="288">
        <f t="shared" si="7"/>
        <v>0</v>
      </c>
      <c r="AY57" s="327">
        <f t="shared" si="8"/>
        <v>0</v>
      </c>
      <c r="AZ57" s="288">
        <f t="shared" si="4"/>
        <v>0</v>
      </c>
      <c r="BA57" s="288"/>
    </row>
    <row r="58" spans="45:53" s="246" customFormat="1" ht="15" x14ac:dyDescent="0.2">
      <c r="AS58" s="288" t="str">
        <f t="shared" si="1"/>
        <v/>
      </c>
      <c r="AT58" s="326">
        <f t="shared" si="5"/>
        <v>0</v>
      </c>
      <c r="AU58" s="326"/>
      <c r="AV58" s="326">
        <f t="shared" si="2"/>
        <v>0</v>
      </c>
      <c r="AW58" s="326">
        <f t="shared" si="6"/>
        <v>0</v>
      </c>
      <c r="AX58" s="288">
        <f t="shared" si="7"/>
        <v>0</v>
      </c>
      <c r="AY58" s="327">
        <f t="shared" si="8"/>
        <v>0</v>
      </c>
      <c r="AZ58" s="288">
        <f t="shared" si="4"/>
        <v>0</v>
      </c>
      <c r="BA58" s="288"/>
    </row>
    <row r="59" spans="45:53" s="246" customFormat="1" ht="15" x14ac:dyDescent="0.2">
      <c r="AS59" s="288" t="str">
        <f t="shared" si="1"/>
        <v/>
      </c>
      <c r="AT59" s="326">
        <f t="shared" si="5"/>
        <v>0</v>
      </c>
      <c r="AU59" s="326"/>
      <c r="AV59" s="326">
        <f t="shared" si="2"/>
        <v>0</v>
      </c>
      <c r="AW59" s="326">
        <f t="shared" si="6"/>
        <v>0</v>
      </c>
      <c r="AX59" s="288">
        <f t="shared" si="7"/>
        <v>0</v>
      </c>
      <c r="AY59" s="327">
        <f t="shared" si="8"/>
        <v>0</v>
      </c>
      <c r="AZ59" s="288">
        <f t="shared" si="4"/>
        <v>0</v>
      </c>
      <c r="BA59" s="288"/>
    </row>
    <row r="60" spans="45:53" s="246" customFormat="1" ht="15" x14ac:dyDescent="0.2">
      <c r="AS60" s="288" t="str">
        <f t="shared" si="1"/>
        <v/>
      </c>
      <c r="AT60" s="326">
        <f t="shared" si="5"/>
        <v>0</v>
      </c>
      <c r="AU60" s="326"/>
      <c r="AV60" s="326">
        <f t="shared" si="2"/>
        <v>0</v>
      </c>
      <c r="AW60" s="326">
        <f t="shared" si="6"/>
        <v>0</v>
      </c>
      <c r="AX60" s="288">
        <f t="shared" si="7"/>
        <v>0</v>
      </c>
      <c r="AY60" s="327">
        <f t="shared" si="8"/>
        <v>0</v>
      </c>
      <c r="AZ60" s="288">
        <f t="shared" si="4"/>
        <v>0</v>
      </c>
      <c r="BA60" s="288"/>
    </row>
    <row r="61" spans="45:53" s="246" customFormat="1" ht="15" x14ac:dyDescent="0.2">
      <c r="AS61" s="288" t="str">
        <f t="shared" si="1"/>
        <v/>
      </c>
      <c r="AT61" s="326">
        <f t="shared" si="5"/>
        <v>0</v>
      </c>
      <c r="AU61" s="326"/>
      <c r="AV61" s="326">
        <f t="shared" si="2"/>
        <v>0</v>
      </c>
      <c r="AW61" s="326">
        <f t="shared" si="6"/>
        <v>0</v>
      </c>
      <c r="AX61" s="288">
        <f t="shared" si="7"/>
        <v>0</v>
      </c>
      <c r="AY61" s="327">
        <f t="shared" si="8"/>
        <v>0</v>
      </c>
      <c r="AZ61" s="288">
        <f t="shared" si="4"/>
        <v>0</v>
      </c>
      <c r="BA61" s="288"/>
    </row>
    <row r="62" spans="45:53" s="246" customFormat="1" ht="15" x14ac:dyDescent="0.2">
      <c r="AS62" s="288" t="str">
        <f t="shared" si="1"/>
        <v/>
      </c>
      <c r="AT62" s="326">
        <f t="shared" si="5"/>
        <v>0</v>
      </c>
      <c r="AU62" s="326"/>
      <c r="AV62" s="326">
        <f t="shared" si="2"/>
        <v>0</v>
      </c>
      <c r="AW62" s="326">
        <f t="shared" si="6"/>
        <v>0</v>
      </c>
      <c r="AX62" s="288">
        <f t="shared" si="7"/>
        <v>0</v>
      </c>
      <c r="AY62" s="327">
        <f t="shared" si="8"/>
        <v>0</v>
      </c>
      <c r="AZ62" s="288">
        <f t="shared" si="4"/>
        <v>0</v>
      </c>
      <c r="BA62" s="288"/>
    </row>
    <row r="63" spans="45:53" s="246" customFormat="1" ht="15" x14ac:dyDescent="0.2">
      <c r="AS63" s="288" t="str">
        <f t="shared" si="1"/>
        <v/>
      </c>
      <c r="AT63" s="326">
        <f t="shared" si="5"/>
        <v>0</v>
      </c>
      <c r="AU63" s="326"/>
      <c r="AV63" s="326">
        <f t="shared" si="2"/>
        <v>0</v>
      </c>
      <c r="AW63" s="326">
        <f t="shared" si="6"/>
        <v>0</v>
      </c>
      <c r="AX63" s="288">
        <f t="shared" si="7"/>
        <v>0</v>
      </c>
      <c r="AY63" s="327">
        <f t="shared" si="8"/>
        <v>0</v>
      </c>
      <c r="AZ63" s="288">
        <f t="shared" si="4"/>
        <v>0</v>
      </c>
      <c r="BA63" s="288"/>
    </row>
    <row r="64" spans="45:53" s="246" customFormat="1" ht="15" x14ac:dyDescent="0.2">
      <c r="AS64" s="288" t="str">
        <f t="shared" si="1"/>
        <v/>
      </c>
      <c r="AT64" s="326">
        <f t="shared" si="5"/>
        <v>0</v>
      </c>
      <c r="AU64" s="326"/>
      <c r="AV64" s="326">
        <f t="shared" si="2"/>
        <v>0</v>
      </c>
      <c r="AW64" s="326">
        <f t="shared" si="6"/>
        <v>0</v>
      </c>
      <c r="AX64" s="288">
        <f t="shared" si="7"/>
        <v>0</v>
      </c>
      <c r="AY64" s="327">
        <f t="shared" si="8"/>
        <v>0</v>
      </c>
      <c r="AZ64" s="288">
        <f t="shared" si="4"/>
        <v>0</v>
      </c>
      <c r="BA64" s="288"/>
    </row>
    <row r="65" spans="45:53" s="246" customFormat="1" ht="15" x14ac:dyDescent="0.2">
      <c r="AS65" s="288" t="str">
        <f t="shared" si="1"/>
        <v/>
      </c>
      <c r="AT65" s="326">
        <f t="shared" si="5"/>
        <v>0</v>
      </c>
      <c r="AU65" s="326"/>
      <c r="AV65" s="326">
        <f t="shared" si="2"/>
        <v>0</v>
      </c>
      <c r="AW65" s="326">
        <f t="shared" si="6"/>
        <v>0</v>
      </c>
      <c r="AX65" s="288">
        <f t="shared" si="7"/>
        <v>0</v>
      </c>
      <c r="AY65" s="327">
        <f t="shared" si="8"/>
        <v>0</v>
      </c>
      <c r="AZ65" s="288">
        <f t="shared" si="4"/>
        <v>0</v>
      </c>
      <c r="BA65" s="288"/>
    </row>
    <row r="66" spans="45:53" s="246" customFormat="1" ht="15" x14ac:dyDescent="0.2">
      <c r="AS66" s="288" t="str">
        <f t="shared" si="1"/>
        <v/>
      </c>
      <c r="AT66" s="326">
        <f t="shared" si="5"/>
        <v>0</v>
      </c>
      <c r="AU66" s="326"/>
      <c r="AV66" s="326">
        <f t="shared" si="2"/>
        <v>0</v>
      </c>
      <c r="AW66" s="326">
        <f t="shared" si="6"/>
        <v>0</v>
      </c>
      <c r="AX66" s="288">
        <f t="shared" si="7"/>
        <v>0</v>
      </c>
      <c r="AY66" s="327">
        <f t="shared" si="8"/>
        <v>0</v>
      </c>
      <c r="AZ66" s="288">
        <f t="shared" si="4"/>
        <v>0</v>
      </c>
      <c r="BA66" s="288"/>
    </row>
    <row r="67" spans="45:53" s="246" customFormat="1" ht="15" x14ac:dyDescent="0.2">
      <c r="AS67" s="288" t="str">
        <f t="shared" si="1"/>
        <v/>
      </c>
      <c r="AT67" s="326">
        <f t="shared" si="5"/>
        <v>0</v>
      </c>
      <c r="AU67" s="326"/>
      <c r="AV67" s="326">
        <f t="shared" si="2"/>
        <v>0</v>
      </c>
      <c r="AW67" s="326">
        <f t="shared" si="6"/>
        <v>0</v>
      </c>
      <c r="AX67" s="288">
        <f t="shared" si="7"/>
        <v>0</v>
      </c>
      <c r="AY67" s="327">
        <f t="shared" si="8"/>
        <v>0</v>
      </c>
      <c r="AZ67" s="288">
        <f t="shared" si="4"/>
        <v>0</v>
      </c>
      <c r="BA67" s="288"/>
    </row>
    <row r="68" spans="45:53" s="246" customFormat="1" ht="15" x14ac:dyDescent="0.2">
      <c r="AS68" s="288" t="str">
        <f t="shared" si="1"/>
        <v/>
      </c>
      <c r="AT68" s="326">
        <f t="shared" si="5"/>
        <v>0</v>
      </c>
      <c r="AU68" s="326"/>
      <c r="AV68" s="326">
        <f t="shared" si="2"/>
        <v>0</v>
      </c>
      <c r="AW68" s="326">
        <f t="shared" si="6"/>
        <v>0</v>
      </c>
      <c r="AX68" s="288">
        <f t="shared" si="7"/>
        <v>0</v>
      </c>
      <c r="AY68" s="327">
        <f t="shared" si="8"/>
        <v>0</v>
      </c>
      <c r="AZ68" s="288">
        <f t="shared" si="4"/>
        <v>0</v>
      </c>
      <c r="BA68" s="288"/>
    </row>
    <row r="69" spans="45:53" s="246" customFormat="1" ht="15" x14ac:dyDescent="0.2">
      <c r="AS69" s="288" t="str">
        <f t="shared" ref="AS69:AS114" si="9">IF(AS68&lt;$D$14,AS68+1,"")</f>
        <v/>
      </c>
      <c r="AT69" s="326">
        <f t="shared" si="5"/>
        <v>0</v>
      </c>
      <c r="AU69" s="326"/>
      <c r="AV69" s="326">
        <f t="shared" si="2"/>
        <v>0</v>
      </c>
      <c r="AW69" s="326">
        <f t="shared" si="6"/>
        <v>0</v>
      </c>
      <c r="AX69" s="288">
        <f t="shared" si="7"/>
        <v>0</v>
      </c>
      <c r="AY69" s="327">
        <f t="shared" si="8"/>
        <v>0</v>
      </c>
      <c r="AZ69" s="288">
        <f t="shared" si="4"/>
        <v>0</v>
      </c>
      <c r="BA69" s="288"/>
    </row>
    <row r="70" spans="45:53" s="246" customFormat="1" ht="15" x14ac:dyDescent="0.2">
      <c r="AS70" s="288" t="str">
        <f t="shared" si="9"/>
        <v/>
      </c>
      <c r="AT70" s="326">
        <f t="shared" si="5"/>
        <v>0</v>
      </c>
      <c r="AU70" s="326"/>
      <c r="AV70" s="326">
        <f t="shared" si="2"/>
        <v>0</v>
      </c>
      <c r="AW70" s="326">
        <f t="shared" si="6"/>
        <v>0</v>
      </c>
      <c r="AX70" s="288">
        <f t="shared" si="7"/>
        <v>0</v>
      </c>
      <c r="AY70" s="327">
        <f t="shared" si="8"/>
        <v>0</v>
      </c>
      <c r="AZ70" s="288">
        <f t="shared" si="4"/>
        <v>0</v>
      </c>
      <c r="BA70" s="288"/>
    </row>
    <row r="71" spans="45:53" s="246" customFormat="1" ht="15" x14ac:dyDescent="0.2">
      <c r="AS71" s="288" t="str">
        <f t="shared" si="9"/>
        <v/>
      </c>
      <c r="AT71" s="326">
        <f t="shared" si="5"/>
        <v>0</v>
      </c>
      <c r="AU71" s="326"/>
      <c r="AV71" s="326">
        <f t="shared" si="2"/>
        <v>0</v>
      </c>
      <c r="AW71" s="326">
        <f t="shared" si="6"/>
        <v>0</v>
      </c>
      <c r="AX71" s="288">
        <f t="shared" si="7"/>
        <v>0</v>
      </c>
      <c r="AY71" s="327">
        <f t="shared" si="8"/>
        <v>0</v>
      </c>
      <c r="AZ71" s="288">
        <f t="shared" si="4"/>
        <v>0</v>
      </c>
      <c r="BA71" s="288"/>
    </row>
    <row r="72" spans="45:53" s="246" customFormat="1" ht="15" x14ac:dyDescent="0.2">
      <c r="AS72" s="288" t="str">
        <f t="shared" si="9"/>
        <v/>
      </c>
      <c r="AT72" s="326">
        <f t="shared" si="5"/>
        <v>0</v>
      </c>
      <c r="AU72" s="326"/>
      <c r="AV72" s="326">
        <f t="shared" ref="AV72:AV114" si="10">$D$10*AT72</f>
        <v>0</v>
      </c>
      <c r="AW72" s="326">
        <f t="shared" si="6"/>
        <v>0</v>
      </c>
      <c r="AX72" s="288">
        <f t="shared" si="7"/>
        <v>0</v>
      </c>
      <c r="AY72" s="327">
        <f t="shared" si="8"/>
        <v>0</v>
      </c>
      <c r="AZ72" s="288">
        <f t="shared" ref="AZ72:AZ114" si="11">IF(ISNUMBER(AS72),AY72/(1+$D$7)^AS72,0)</f>
        <v>0</v>
      </c>
      <c r="BA72" s="288"/>
    </row>
    <row r="73" spans="45:53" s="246" customFormat="1" ht="15" x14ac:dyDescent="0.2">
      <c r="AS73" s="288" t="str">
        <f t="shared" si="9"/>
        <v/>
      </c>
      <c r="AT73" s="326">
        <f t="shared" ref="AT73:AT114" si="12">IF(ISNUMBER(AS73),AW72,0)</f>
        <v>0</v>
      </c>
      <c r="AU73" s="326"/>
      <c r="AV73" s="326">
        <f t="shared" si="10"/>
        <v>0</v>
      </c>
      <c r="AW73" s="326">
        <f t="shared" ref="AW73:AW114" si="13">AT73</f>
        <v>0</v>
      </c>
      <c r="AX73" s="288">
        <f t="shared" si="7"/>
        <v>0</v>
      </c>
      <c r="AY73" s="327">
        <f t="shared" si="8"/>
        <v>0</v>
      </c>
      <c r="AZ73" s="288">
        <f t="shared" si="11"/>
        <v>0</v>
      </c>
      <c r="BA73" s="288"/>
    </row>
    <row r="74" spans="45:53" s="246" customFormat="1" ht="15" x14ac:dyDescent="0.2">
      <c r="AS74" s="288" t="str">
        <f t="shared" si="9"/>
        <v/>
      </c>
      <c r="AT74" s="326">
        <f t="shared" si="12"/>
        <v>0</v>
      </c>
      <c r="AU74" s="326"/>
      <c r="AV74" s="326">
        <f t="shared" si="10"/>
        <v>0</v>
      </c>
      <c r="AW74" s="326">
        <f t="shared" si="13"/>
        <v>0</v>
      </c>
      <c r="AX74" s="288">
        <f t="shared" si="7"/>
        <v>0</v>
      </c>
      <c r="AY74" s="327">
        <f t="shared" si="8"/>
        <v>0</v>
      </c>
      <c r="AZ74" s="288">
        <f t="shared" si="11"/>
        <v>0</v>
      </c>
      <c r="BA74" s="288"/>
    </row>
    <row r="75" spans="45:53" s="246" customFormat="1" ht="15" x14ac:dyDescent="0.2">
      <c r="AS75" s="288" t="str">
        <f t="shared" si="9"/>
        <v/>
      </c>
      <c r="AT75" s="326">
        <f t="shared" si="12"/>
        <v>0</v>
      </c>
      <c r="AU75" s="326"/>
      <c r="AV75" s="326">
        <f t="shared" si="10"/>
        <v>0</v>
      </c>
      <c r="AW75" s="326">
        <f t="shared" si="13"/>
        <v>0</v>
      </c>
      <c r="AX75" s="288">
        <f t="shared" si="7"/>
        <v>0</v>
      </c>
      <c r="AY75" s="327">
        <f t="shared" si="8"/>
        <v>0</v>
      </c>
      <c r="AZ75" s="288">
        <f t="shared" si="11"/>
        <v>0</v>
      </c>
      <c r="BA75" s="288"/>
    </row>
    <row r="76" spans="45:53" s="246" customFormat="1" ht="15" x14ac:dyDescent="0.2">
      <c r="AS76" s="288" t="str">
        <f t="shared" si="9"/>
        <v/>
      </c>
      <c r="AT76" s="326">
        <f t="shared" si="12"/>
        <v>0</v>
      </c>
      <c r="AU76" s="326"/>
      <c r="AV76" s="326">
        <f t="shared" si="10"/>
        <v>0</v>
      </c>
      <c r="AW76" s="326">
        <f t="shared" si="13"/>
        <v>0</v>
      </c>
      <c r="AX76" s="288">
        <f t="shared" si="7"/>
        <v>0</v>
      </c>
      <c r="AY76" s="327">
        <f t="shared" si="8"/>
        <v>0</v>
      </c>
      <c r="AZ76" s="288">
        <f t="shared" si="11"/>
        <v>0</v>
      </c>
      <c r="BA76" s="288"/>
    </row>
    <row r="77" spans="45:53" s="246" customFormat="1" ht="15" x14ac:dyDescent="0.2">
      <c r="AS77" s="288" t="str">
        <f t="shared" si="9"/>
        <v/>
      </c>
      <c r="AT77" s="326">
        <f t="shared" si="12"/>
        <v>0</v>
      </c>
      <c r="AU77" s="326"/>
      <c r="AV77" s="326">
        <f t="shared" si="10"/>
        <v>0</v>
      </c>
      <c r="AW77" s="326">
        <f t="shared" si="13"/>
        <v>0</v>
      </c>
      <c r="AX77" s="288">
        <f t="shared" si="7"/>
        <v>0</v>
      </c>
      <c r="AY77" s="327">
        <f t="shared" si="8"/>
        <v>0</v>
      </c>
      <c r="AZ77" s="288">
        <f t="shared" si="11"/>
        <v>0</v>
      </c>
      <c r="BA77" s="288"/>
    </row>
    <row r="78" spans="45:53" s="246" customFormat="1" ht="15" x14ac:dyDescent="0.2">
      <c r="AS78" s="288" t="str">
        <f t="shared" si="9"/>
        <v/>
      </c>
      <c r="AT78" s="326">
        <f t="shared" si="12"/>
        <v>0</v>
      </c>
      <c r="AU78" s="326"/>
      <c r="AV78" s="326">
        <f t="shared" si="10"/>
        <v>0</v>
      </c>
      <c r="AW78" s="326">
        <f t="shared" si="13"/>
        <v>0</v>
      </c>
      <c r="AX78" s="288">
        <f t="shared" si="7"/>
        <v>0</v>
      </c>
      <c r="AY78" s="327">
        <f t="shared" si="8"/>
        <v>0</v>
      </c>
      <c r="AZ78" s="288">
        <f t="shared" si="11"/>
        <v>0</v>
      </c>
      <c r="BA78" s="288"/>
    </row>
    <row r="79" spans="45:53" s="246" customFormat="1" ht="15" x14ac:dyDescent="0.2">
      <c r="AS79" s="288" t="str">
        <f t="shared" si="9"/>
        <v/>
      </c>
      <c r="AT79" s="326">
        <f t="shared" si="12"/>
        <v>0</v>
      </c>
      <c r="AU79" s="326"/>
      <c r="AV79" s="326">
        <f t="shared" si="10"/>
        <v>0</v>
      </c>
      <c r="AW79" s="326">
        <f t="shared" si="13"/>
        <v>0</v>
      </c>
      <c r="AX79" s="288">
        <f t="shared" si="7"/>
        <v>0</v>
      </c>
      <c r="AY79" s="327">
        <f t="shared" si="8"/>
        <v>0</v>
      </c>
      <c r="AZ79" s="288">
        <f t="shared" si="11"/>
        <v>0</v>
      </c>
      <c r="BA79" s="288"/>
    </row>
    <row r="80" spans="45:53" s="246" customFormat="1" ht="15" x14ac:dyDescent="0.2">
      <c r="AS80" s="288" t="str">
        <f t="shared" si="9"/>
        <v/>
      </c>
      <c r="AT80" s="326">
        <f t="shared" si="12"/>
        <v>0</v>
      </c>
      <c r="AU80" s="326"/>
      <c r="AV80" s="326">
        <f t="shared" si="10"/>
        <v>0</v>
      </c>
      <c r="AW80" s="326">
        <f t="shared" si="13"/>
        <v>0</v>
      </c>
      <c r="AX80" s="288">
        <f t="shared" si="7"/>
        <v>0</v>
      </c>
      <c r="AY80" s="327">
        <f t="shared" si="8"/>
        <v>0</v>
      </c>
      <c r="AZ80" s="288">
        <f t="shared" si="11"/>
        <v>0</v>
      </c>
      <c r="BA80" s="288"/>
    </row>
    <row r="81" spans="45:53" s="246" customFormat="1" ht="15" x14ac:dyDescent="0.2">
      <c r="AS81" s="288" t="str">
        <f t="shared" si="9"/>
        <v/>
      </c>
      <c r="AT81" s="326">
        <f t="shared" si="12"/>
        <v>0</v>
      </c>
      <c r="AU81" s="326"/>
      <c r="AV81" s="326">
        <f t="shared" si="10"/>
        <v>0</v>
      </c>
      <c r="AW81" s="326">
        <f t="shared" si="13"/>
        <v>0</v>
      </c>
      <c r="AX81" s="288">
        <f t="shared" si="7"/>
        <v>0</v>
      </c>
      <c r="AY81" s="327">
        <f t="shared" si="8"/>
        <v>0</v>
      </c>
      <c r="AZ81" s="288">
        <f t="shared" si="11"/>
        <v>0</v>
      </c>
      <c r="BA81" s="288"/>
    </row>
    <row r="82" spans="45:53" s="246" customFormat="1" ht="15" x14ac:dyDescent="0.2">
      <c r="AS82" s="288" t="str">
        <f t="shared" si="9"/>
        <v/>
      </c>
      <c r="AT82" s="326">
        <f t="shared" si="12"/>
        <v>0</v>
      </c>
      <c r="AU82" s="326"/>
      <c r="AV82" s="326">
        <f t="shared" si="10"/>
        <v>0</v>
      </c>
      <c r="AW82" s="326">
        <f t="shared" si="13"/>
        <v>0</v>
      </c>
      <c r="AX82" s="288">
        <f t="shared" ref="AX82:AX114" si="14">IF(ISNUMBER(AS83),SUM(AU82:AV82),SUM(AU82:AW82))</f>
        <v>0</v>
      </c>
      <c r="AY82" s="327">
        <f t="shared" si="8"/>
        <v>0</v>
      </c>
      <c r="AZ82" s="288">
        <f t="shared" si="11"/>
        <v>0</v>
      </c>
      <c r="BA82" s="288"/>
    </row>
    <row r="83" spans="45:53" s="246" customFormat="1" ht="15" x14ac:dyDescent="0.2">
      <c r="AS83" s="288" t="str">
        <f t="shared" si="9"/>
        <v/>
      </c>
      <c r="AT83" s="326">
        <f t="shared" si="12"/>
        <v>0</v>
      </c>
      <c r="AU83" s="326"/>
      <c r="AV83" s="326">
        <f t="shared" si="10"/>
        <v>0</v>
      </c>
      <c r="AW83" s="326">
        <f t="shared" si="13"/>
        <v>0</v>
      </c>
      <c r="AX83" s="288">
        <f t="shared" si="14"/>
        <v>0</v>
      </c>
      <c r="AY83" s="327">
        <f t="shared" si="8"/>
        <v>0</v>
      </c>
      <c r="AZ83" s="288">
        <f t="shared" si="11"/>
        <v>0</v>
      </c>
      <c r="BA83" s="288"/>
    </row>
    <row r="84" spans="45:53" s="246" customFormat="1" ht="15" x14ac:dyDescent="0.2">
      <c r="AS84" s="288" t="str">
        <f t="shared" si="9"/>
        <v/>
      </c>
      <c r="AT84" s="326">
        <f t="shared" si="12"/>
        <v>0</v>
      </c>
      <c r="AU84" s="326"/>
      <c r="AV84" s="326">
        <f t="shared" si="10"/>
        <v>0</v>
      </c>
      <c r="AW84" s="326">
        <f t="shared" si="13"/>
        <v>0</v>
      </c>
      <c r="AX84" s="288">
        <f t="shared" si="14"/>
        <v>0</v>
      </c>
      <c r="AY84" s="327">
        <f t="shared" si="8"/>
        <v>0</v>
      </c>
      <c r="AZ84" s="288">
        <f t="shared" si="11"/>
        <v>0</v>
      </c>
      <c r="BA84" s="288"/>
    </row>
    <row r="85" spans="45:53" s="246" customFormat="1" ht="15" x14ac:dyDescent="0.2">
      <c r="AS85" s="288" t="str">
        <f t="shared" si="9"/>
        <v/>
      </c>
      <c r="AT85" s="326">
        <f t="shared" si="12"/>
        <v>0</v>
      </c>
      <c r="AU85" s="326"/>
      <c r="AV85" s="326">
        <f t="shared" si="10"/>
        <v>0</v>
      </c>
      <c r="AW85" s="326">
        <f t="shared" si="13"/>
        <v>0</v>
      </c>
      <c r="AX85" s="288">
        <f t="shared" si="14"/>
        <v>0</v>
      </c>
      <c r="AY85" s="327">
        <f t="shared" si="8"/>
        <v>0</v>
      </c>
      <c r="AZ85" s="288">
        <f t="shared" si="11"/>
        <v>0</v>
      </c>
      <c r="BA85" s="288"/>
    </row>
    <row r="86" spans="45:53" s="246" customFormat="1" ht="15" x14ac:dyDescent="0.2">
      <c r="AS86" s="288" t="str">
        <f t="shared" si="9"/>
        <v/>
      </c>
      <c r="AT86" s="326">
        <f t="shared" si="12"/>
        <v>0</v>
      </c>
      <c r="AU86" s="326"/>
      <c r="AV86" s="326">
        <f t="shared" si="10"/>
        <v>0</v>
      </c>
      <c r="AW86" s="326">
        <f t="shared" si="13"/>
        <v>0</v>
      </c>
      <c r="AX86" s="288">
        <f t="shared" si="14"/>
        <v>0</v>
      </c>
      <c r="AY86" s="327">
        <f t="shared" si="8"/>
        <v>0</v>
      </c>
      <c r="AZ86" s="288">
        <f t="shared" si="11"/>
        <v>0</v>
      </c>
      <c r="BA86" s="288"/>
    </row>
    <row r="87" spans="45:53" s="246" customFormat="1" ht="15" x14ac:dyDescent="0.2">
      <c r="AS87" s="288" t="str">
        <f t="shared" si="9"/>
        <v/>
      </c>
      <c r="AT87" s="326">
        <f t="shared" si="12"/>
        <v>0</v>
      </c>
      <c r="AU87" s="326"/>
      <c r="AV87" s="326">
        <f t="shared" si="10"/>
        <v>0</v>
      </c>
      <c r="AW87" s="326">
        <f t="shared" si="13"/>
        <v>0</v>
      </c>
      <c r="AX87" s="288">
        <f t="shared" si="14"/>
        <v>0</v>
      </c>
      <c r="AY87" s="327">
        <f t="shared" si="8"/>
        <v>0</v>
      </c>
      <c r="AZ87" s="288">
        <f t="shared" si="11"/>
        <v>0</v>
      </c>
      <c r="BA87" s="288"/>
    </row>
    <row r="88" spans="45:53" s="246" customFormat="1" ht="15" x14ac:dyDescent="0.2">
      <c r="AS88" s="288" t="str">
        <f t="shared" si="9"/>
        <v/>
      </c>
      <c r="AT88" s="326">
        <f t="shared" si="12"/>
        <v>0</v>
      </c>
      <c r="AU88" s="326"/>
      <c r="AV88" s="326">
        <f t="shared" si="10"/>
        <v>0</v>
      </c>
      <c r="AW88" s="326">
        <f t="shared" si="13"/>
        <v>0</v>
      </c>
      <c r="AX88" s="288">
        <f t="shared" si="14"/>
        <v>0</v>
      </c>
      <c r="AY88" s="327">
        <f t="shared" si="8"/>
        <v>0</v>
      </c>
      <c r="AZ88" s="288">
        <f t="shared" si="11"/>
        <v>0</v>
      </c>
      <c r="BA88" s="288"/>
    </row>
    <row r="89" spans="45:53" s="246" customFormat="1" ht="15" x14ac:dyDescent="0.2">
      <c r="AS89" s="288" t="str">
        <f t="shared" si="9"/>
        <v/>
      </c>
      <c r="AT89" s="326">
        <f t="shared" si="12"/>
        <v>0</v>
      </c>
      <c r="AU89" s="326"/>
      <c r="AV89" s="326">
        <f t="shared" si="10"/>
        <v>0</v>
      </c>
      <c r="AW89" s="326">
        <f t="shared" si="13"/>
        <v>0</v>
      </c>
      <c r="AX89" s="288">
        <f t="shared" si="14"/>
        <v>0</v>
      </c>
      <c r="AY89" s="327">
        <f t="shared" si="8"/>
        <v>0</v>
      </c>
      <c r="AZ89" s="288">
        <f t="shared" si="11"/>
        <v>0</v>
      </c>
      <c r="BA89" s="288"/>
    </row>
    <row r="90" spans="45:53" s="246" customFormat="1" ht="15" x14ac:dyDescent="0.2">
      <c r="AS90" s="288" t="str">
        <f t="shared" si="9"/>
        <v/>
      </c>
      <c r="AT90" s="326">
        <f t="shared" si="12"/>
        <v>0</v>
      </c>
      <c r="AU90" s="326"/>
      <c r="AV90" s="326">
        <f t="shared" si="10"/>
        <v>0</v>
      </c>
      <c r="AW90" s="326">
        <f t="shared" si="13"/>
        <v>0</v>
      </c>
      <c r="AX90" s="288">
        <f t="shared" si="14"/>
        <v>0</v>
      </c>
      <c r="AY90" s="327">
        <f t="shared" si="8"/>
        <v>0</v>
      </c>
      <c r="AZ90" s="288">
        <f t="shared" si="11"/>
        <v>0</v>
      </c>
      <c r="BA90" s="288"/>
    </row>
    <row r="91" spans="45:53" s="246" customFormat="1" ht="15" x14ac:dyDescent="0.2">
      <c r="AS91" s="288" t="str">
        <f t="shared" si="9"/>
        <v/>
      </c>
      <c r="AT91" s="326">
        <f t="shared" si="12"/>
        <v>0</v>
      </c>
      <c r="AU91" s="326"/>
      <c r="AV91" s="326">
        <f t="shared" si="10"/>
        <v>0</v>
      </c>
      <c r="AW91" s="326">
        <f t="shared" si="13"/>
        <v>0</v>
      </c>
      <c r="AX91" s="288">
        <f t="shared" si="14"/>
        <v>0</v>
      </c>
      <c r="AY91" s="327">
        <f t="shared" si="8"/>
        <v>0</v>
      </c>
      <c r="AZ91" s="288">
        <f t="shared" si="11"/>
        <v>0</v>
      </c>
      <c r="BA91" s="288"/>
    </row>
    <row r="92" spans="45:53" s="246" customFormat="1" ht="15" x14ac:dyDescent="0.2">
      <c r="AS92" s="288" t="str">
        <f t="shared" si="9"/>
        <v/>
      </c>
      <c r="AT92" s="326">
        <f t="shared" si="12"/>
        <v>0</v>
      </c>
      <c r="AU92" s="326"/>
      <c r="AV92" s="326">
        <f t="shared" si="10"/>
        <v>0</v>
      </c>
      <c r="AW92" s="326">
        <f t="shared" si="13"/>
        <v>0</v>
      </c>
      <c r="AX92" s="288">
        <f t="shared" si="14"/>
        <v>0</v>
      </c>
      <c r="AY92" s="327">
        <f t="shared" si="8"/>
        <v>0</v>
      </c>
      <c r="AZ92" s="288">
        <f t="shared" si="11"/>
        <v>0</v>
      </c>
      <c r="BA92" s="288"/>
    </row>
    <row r="93" spans="45:53" s="246" customFormat="1" ht="15" x14ac:dyDescent="0.2">
      <c r="AS93" s="288" t="str">
        <f t="shared" si="9"/>
        <v/>
      </c>
      <c r="AT93" s="326">
        <f t="shared" si="12"/>
        <v>0</v>
      </c>
      <c r="AU93" s="326"/>
      <c r="AV93" s="326">
        <f t="shared" si="10"/>
        <v>0</v>
      </c>
      <c r="AW93" s="326">
        <f t="shared" si="13"/>
        <v>0</v>
      </c>
      <c r="AX93" s="288">
        <f t="shared" si="14"/>
        <v>0</v>
      </c>
      <c r="AY93" s="327">
        <f t="shared" si="8"/>
        <v>0</v>
      </c>
      <c r="AZ93" s="288">
        <f t="shared" si="11"/>
        <v>0</v>
      </c>
      <c r="BA93" s="288"/>
    </row>
    <row r="94" spans="45:53" s="246" customFormat="1" ht="15" x14ac:dyDescent="0.2">
      <c r="AS94" s="288" t="str">
        <f t="shared" si="9"/>
        <v/>
      </c>
      <c r="AT94" s="326">
        <f t="shared" si="12"/>
        <v>0</v>
      </c>
      <c r="AU94" s="326"/>
      <c r="AV94" s="326">
        <f t="shared" si="10"/>
        <v>0</v>
      </c>
      <c r="AW94" s="326">
        <f t="shared" si="13"/>
        <v>0</v>
      </c>
      <c r="AX94" s="288">
        <f t="shared" si="14"/>
        <v>0</v>
      </c>
      <c r="AY94" s="327">
        <f t="shared" si="8"/>
        <v>0</v>
      </c>
      <c r="AZ94" s="288">
        <f t="shared" si="11"/>
        <v>0</v>
      </c>
      <c r="BA94" s="288"/>
    </row>
    <row r="95" spans="45:53" s="246" customFormat="1" ht="15" x14ac:dyDescent="0.2">
      <c r="AS95" s="288" t="str">
        <f t="shared" si="9"/>
        <v/>
      </c>
      <c r="AT95" s="326">
        <f t="shared" si="12"/>
        <v>0</v>
      </c>
      <c r="AU95" s="326"/>
      <c r="AV95" s="326">
        <f t="shared" si="10"/>
        <v>0</v>
      </c>
      <c r="AW95" s="326">
        <f t="shared" si="13"/>
        <v>0</v>
      </c>
      <c r="AX95" s="288">
        <f t="shared" si="14"/>
        <v>0</v>
      </c>
      <c r="AY95" s="327">
        <f t="shared" si="8"/>
        <v>0</v>
      </c>
      <c r="AZ95" s="288">
        <f t="shared" si="11"/>
        <v>0</v>
      </c>
      <c r="BA95" s="288"/>
    </row>
    <row r="96" spans="45:53" s="246" customFormat="1" ht="15" x14ac:dyDescent="0.2">
      <c r="AS96" s="288" t="str">
        <f t="shared" si="9"/>
        <v/>
      </c>
      <c r="AT96" s="326">
        <f t="shared" si="12"/>
        <v>0</v>
      </c>
      <c r="AU96" s="326"/>
      <c r="AV96" s="326">
        <f t="shared" si="10"/>
        <v>0</v>
      </c>
      <c r="AW96" s="326">
        <f t="shared" si="13"/>
        <v>0</v>
      </c>
      <c r="AX96" s="288">
        <f t="shared" si="14"/>
        <v>0</v>
      </c>
      <c r="AY96" s="327">
        <f t="shared" si="8"/>
        <v>0</v>
      </c>
      <c r="AZ96" s="288">
        <f t="shared" si="11"/>
        <v>0</v>
      </c>
      <c r="BA96" s="288"/>
    </row>
    <row r="97" spans="45:53" s="246" customFormat="1" ht="15" x14ac:dyDescent="0.2">
      <c r="AS97" s="288" t="str">
        <f t="shared" si="9"/>
        <v/>
      </c>
      <c r="AT97" s="326">
        <f t="shared" si="12"/>
        <v>0</v>
      </c>
      <c r="AU97" s="326"/>
      <c r="AV97" s="326">
        <f t="shared" si="10"/>
        <v>0</v>
      </c>
      <c r="AW97" s="326">
        <f t="shared" si="13"/>
        <v>0</v>
      </c>
      <c r="AX97" s="288">
        <f t="shared" si="14"/>
        <v>0</v>
      </c>
      <c r="AY97" s="327">
        <f t="shared" si="8"/>
        <v>0</v>
      </c>
      <c r="AZ97" s="288">
        <f t="shared" si="11"/>
        <v>0</v>
      </c>
      <c r="BA97" s="288"/>
    </row>
    <row r="98" spans="45:53" s="246" customFormat="1" ht="15" x14ac:dyDescent="0.2">
      <c r="AS98" s="288" t="str">
        <f t="shared" si="9"/>
        <v/>
      </c>
      <c r="AT98" s="326">
        <f t="shared" si="12"/>
        <v>0</v>
      </c>
      <c r="AU98" s="326"/>
      <c r="AV98" s="326">
        <f t="shared" si="10"/>
        <v>0</v>
      </c>
      <c r="AW98" s="326">
        <f t="shared" si="13"/>
        <v>0</v>
      </c>
      <c r="AX98" s="288">
        <f t="shared" si="14"/>
        <v>0</v>
      </c>
      <c r="AY98" s="327">
        <f t="shared" si="8"/>
        <v>0</v>
      </c>
      <c r="AZ98" s="288">
        <f t="shared" si="11"/>
        <v>0</v>
      </c>
      <c r="BA98" s="288"/>
    </row>
    <row r="99" spans="45:53" s="246" customFormat="1" ht="15" x14ac:dyDescent="0.2">
      <c r="AS99" s="288" t="str">
        <f t="shared" si="9"/>
        <v/>
      </c>
      <c r="AT99" s="326">
        <f t="shared" si="12"/>
        <v>0</v>
      </c>
      <c r="AU99" s="326"/>
      <c r="AV99" s="326">
        <f t="shared" si="10"/>
        <v>0</v>
      </c>
      <c r="AW99" s="326">
        <f t="shared" si="13"/>
        <v>0</v>
      </c>
      <c r="AX99" s="288">
        <f t="shared" si="14"/>
        <v>0</v>
      </c>
      <c r="AY99" s="327">
        <f t="shared" si="8"/>
        <v>0</v>
      </c>
      <c r="AZ99" s="288">
        <f t="shared" si="11"/>
        <v>0</v>
      </c>
      <c r="BA99" s="288"/>
    </row>
    <row r="100" spans="45:53" s="246" customFormat="1" ht="15" x14ac:dyDescent="0.2">
      <c r="AS100" s="288" t="str">
        <f t="shared" si="9"/>
        <v/>
      </c>
      <c r="AT100" s="326">
        <f t="shared" si="12"/>
        <v>0</v>
      </c>
      <c r="AU100" s="326"/>
      <c r="AV100" s="326">
        <f t="shared" si="10"/>
        <v>0</v>
      </c>
      <c r="AW100" s="326">
        <f t="shared" si="13"/>
        <v>0</v>
      </c>
      <c r="AX100" s="288">
        <f t="shared" si="14"/>
        <v>0</v>
      </c>
      <c r="AY100" s="327">
        <f t="shared" si="8"/>
        <v>0</v>
      </c>
      <c r="AZ100" s="288">
        <f t="shared" si="11"/>
        <v>0</v>
      </c>
      <c r="BA100" s="288"/>
    </row>
    <row r="101" spans="45:53" s="246" customFormat="1" ht="15" x14ac:dyDescent="0.2">
      <c r="AS101" s="288" t="str">
        <f t="shared" si="9"/>
        <v/>
      </c>
      <c r="AT101" s="326">
        <f t="shared" si="12"/>
        <v>0</v>
      </c>
      <c r="AU101" s="326"/>
      <c r="AV101" s="326">
        <f t="shared" si="10"/>
        <v>0</v>
      </c>
      <c r="AW101" s="326">
        <f t="shared" si="13"/>
        <v>0</v>
      </c>
      <c r="AX101" s="288">
        <f t="shared" si="14"/>
        <v>0</v>
      </c>
      <c r="AY101" s="327">
        <f t="shared" si="8"/>
        <v>0</v>
      </c>
      <c r="AZ101" s="288">
        <f t="shared" si="11"/>
        <v>0</v>
      </c>
      <c r="BA101" s="288"/>
    </row>
    <row r="102" spans="45:53" s="246" customFormat="1" ht="15" x14ac:dyDescent="0.2">
      <c r="AS102" s="288" t="str">
        <f t="shared" si="9"/>
        <v/>
      </c>
      <c r="AT102" s="326">
        <f t="shared" si="12"/>
        <v>0</v>
      </c>
      <c r="AU102" s="326"/>
      <c r="AV102" s="326">
        <f t="shared" si="10"/>
        <v>0</v>
      </c>
      <c r="AW102" s="326">
        <f t="shared" si="13"/>
        <v>0</v>
      </c>
      <c r="AX102" s="288">
        <f t="shared" si="14"/>
        <v>0</v>
      </c>
      <c r="AY102" s="327">
        <f t="shared" si="8"/>
        <v>0</v>
      </c>
      <c r="AZ102" s="288">
        <f t="shared" si="11"/>
        <v>0</v>
      </c>
      <c r="BA102" s="288"/>
    </row>
    <row r="103" spans="45:53" s="246" customFormat="1" ht="15" x14ac:dyDescent="0.2">
      <c r="AS103" s="288" t="str">
        <f t="shared" si="9"/>
        <v/>
      </c>
      <c r="AT103" s="326">
        <f t="shared" si="12"/>
        <v>0</v>
      </c>
      <c r="AU103" s="326"/>
      <c r="AV103" s="326">
        <f t="shared" si="10"/>
        <v>0</v>
      </c>
      <c r="AW103" s="326">
        <f t="shared" si="13"/>
        <v>0</v>
      </c>
      <c r="AX103" s="288">
        <f t="shared" si="14"/>
        <v>0</v>
      </c>
      <c r="AY103" s="327">
        <f t="shared" ref="AY103:AY114" si="15">LN(AX103+$J$37)-LN($J$37)</f>
        <v>0</v>
      </c>
      <c r="AZ103" s="288">
        <f t="shared" si="11"/>
        <v>0</v>
      </c>
      <c r="BA103" s="288"/>
    </row>
    <row r="104" spans="45:53" s="246" customFormat="1" ht="15" x14ac:dyDescent="0.2">
      <c r="AS104" s="288" t="str">
        <f t="shared" si="9"/>
        <v/>
      </c>
      <c r="AT104" s="326">
        <f t="shared" si="12"/>
        <v>0</v>
      </c>
      <c r="AU104" s="326"/>
      <c r="AV104" s="326">
        <f t="shared" si="10"/>
        <v>0</v>
      </c>
      <c r="AW104" s="326">
        <f t="shared" si="13"/>
        <v>0</v>
      </c>
      <c r="AX104" s="288">
        <f t="shared" si="14"/>
        <v>0</v>
      </c>
      <c r="AY104" s="327">
        <f t="shared" si="15"/>
        <v>0</v>
      </c>
      <c r="AZ104" s="288">
        <f t="shared" si="11"/>
        <v>0</v>
      </c>
      <c r="BA104" s="288"/>
    </row>
    <row r="105" spans="45:53" s="246" customFormat="1" ht="15" x14ac:dyDescent="0.2">
      <c r="AS105" s="288" t="str">
        <f t="shared" si="9"/>
        <v/>
      </c>
      <c r="AT105" s="326">
        <f t="shared" si="12"/>
        <v>0</v>
      </c>
      <c r="AU105" s="326"/>
      <c r="AV105" s="326">
        <f t="shared" si="10"/>
        <v>0</v>
      </c>
      <c r="AW105" s="326">
        <f t="shared" si="13"/>
        <v>0</v>
      </c>
      <c r="AX105" s="288">
        <f t="shared" si="14"/>
        <v>0</v>
      </c>
      <c r="AY105" s="327">
        <f t="shared" si="15"/>
        <v>0</v>
      </c>
      <c r="AZ105" s="288">
        <f t="shared" si="11"/>
        <v>0</v>
      </c>
      <c r="BA105" s="288"/>
    </row>
    <row r="106" spans="45:53" s="246" customFormat="1" ht="15" x14ac:dyDescent="0.2">
      <c r="AS106" s="288" t="str">
        <f t="shared" si="9"/>
        <v/>
      </c>
      <c r="AT106" s="326">
        <f t="shared" si="12"/>
        <v>0</v>
      </c>
      <c r="AU106" s="326"/>
      <c r="AV106" s="326">
        <f t="shared" si="10"/>
        <v>0</v>
      </c>
      <c r="AW106" s="326">
        <f t="shared" si="13"/>
        <v>0</v>
      </c>
      <c r="AX106" s="288">
        <f t="shared" si="14"/>
        <v>0</v>
      </c>
      <c r="AY106" s="327">
        <f t="shared" si="15"/>
        <v>0</v>
      </c>
      <c r="AZ106" s="288">
        <f t="shared" si="11"/>
        <v>0</v>
      </c>
      <c r="BA106" s="288"/>
    </row>
    <row r="107" spans="45:53" s="246" customFormat="1" ht="15" x14ac:dyDescent="0.2">
      <c r="AS107" s="288" t="str">
        <f t="shared" si="9"/>
        <v/>
      </c>
      <c r="AT107" s="326">
        <f t="shared" si="12"/>
        <v>0</v>
      </c>
      <c r="AU107" s="326"/>
      <c r="AV107" s="326">
        <f t="shared" si="10"/>
        <v>0</v>
      </c>
      <c r="AW107" s="326">
        <f t="shared" si="13"/>
        <v>0</v>
      </c>
      <c r="AX107" s="288">
        <f t="shared" si="14"/>
        <v>0</v>
      </c>
      <c r="AY107" s="327">
        <f t="shared" si="15"/>
        <v>0</v>
      </c>
      <c r="AZ107" s="288">
        <f t="shared" si="11"/>
        <v>0</v>
      </c>
      <c r="BA107" s="288"/>
    </row>
    <row r="108" spans="45:53" s="246" customFormat="1" ht="15" x14ac:dyDescent="0.2">
      <c r="AS108" s="288" t="str">
        <f t="shared" si="9"/>
        <v/>
      </c>
      <c r="AT108" s="326">
        <f t="shared" si="12"/>
        <v>0</v>
      </c>
      <c r="AU108" s="326"/>
      <c r="AV108" s="326">
        <f t="shared" si="10"/>
        <v>0</v>
      </c>
      <c r="AW108" s="326">
        <f t="shared" si="13"/>
        <v>0</v>
      </c>
      <c r="AX108" s="288">
        <f t="shared" si="14"/>
        <v>0</v>
      </c>
      <c r="AY108" s="327">
        <f t="shared" si="15"/>
        <v>0</v>
      </c>
      <c r="AZ108" s="288">
        <f t="shared" si="11"/>
        <v>0</v>
      </c>
      <c r="BA108" s="288"/>
    </row>
    <row r="109" spans="45:53" s="246" customFormat="1" ht="15" x14ac:dyDescent="0.2">
      <c r="AS109" s="288" t="str">
        <f t="shared" si="9"/>
        <v/>
      </c>
      <c r="AT109" s="326">
        <f t="shared" si="12"/>
        <v>0</v>
      </c>
      <c r="AU109" s="326"/>
      <c r="AV109" s="326">
        <f t="shared" si="10"/>
        <v>0</v>
      </c>
      <c r="AW109" s="326">
        <f t="shared" si="13"/>
        <v>0</v>
      </c>
      <c r="AX109" s="288">
        <f t="shared" si="14"/>
        <v>0</v>
      </c>
      <c r="AY109" s="327">
        <f t="shared" si="15"/>
        <v>0</v>
      </c>
      <c r="AZ109" s="288">
        <f t="shared" si="11"/>
        <v>0</v>
      </c>
      <c r="BA109" s="288"/>
    </row>
    <row r="110" spans="45:53" s="246" customFormat="1" ht="15" x14ac:dyDescent="0.2">
      <c r="AS110" s="288" t="str">
        <f t="shared" si="9"/>
        <v/>
      </c>
      <c r="AT110" s="326">
        <f t="shared" si="12"/>
        <v>0</v>
      </c>
      <c r="AU110" s="326"/>
      <c r="AV110" s="326">
        <f t="shared" si="10"/>
        <v>0</v>
      </c>
      <c r="AW110" s="326">
        <f t="shared" si="13"/>
        <v>0</v>
      </c>
      <c r="AX110" s="288">
        <f t="shared" si="14"/>
        <v>0</v>
      </c>
      <c r="AY110" s="327">
        <f t="shared" si="15"/>
        <v>0</v>
      </c>
      <c r="AZ110" s="288">
        <f t="shared" si="11"/>
        <v>0</v>
      </c>
      <c r="BA110" s="288"/>
    </row>
    <row r="111" spans="45:53" s="246" customFormat="1" ht="15" x14ac:dyDescent="0.2">
      <c r="AS111" s="288" t="str">
        <f t="shared" si="9"/>
        <v/>
      </c>
      <c r="AT111" s="326">
        <f t="shared" si="12"/>
        <v>0</v>
      </c>
      <c r="AU111" s="326"/>
      <c r="AV111" s="326">
        <f t="shared" si="10"/>
        <v>0</v>
      </c>
      <c r="AW111" s="326">
        <f t="shared" si="13"/>
        <v>0</v>
      </c>
      <c r="AX111" s="288">
        <f t="shared" si="14"/>
        <v>0</v>
      </c>
      <c r="AY111" s="327">
        <f t="shared" si="15"/>
        <v>0</v>
      </c>
      <c r="AZ111" s="288">
        <f t="shared" si="11"/>
        <v>0</v>
      </c>
      <c r="BA111" s="288"/>
    </row>
    <row r="112" spans="45:53" s="246" customFormat="1" ht="15" x14ac:dyDescent="0.2">
      <c r="AS112" s="288" t="str">
        <f t="shared" si="9"/>
        <v/>
      </c>
      <c r="AT112" s="326">
        <f t="shared" si="12"/>
        <v>0</v>
      </c>
      <c r="AU112" s="326"/>
      <c r="AV112" s="326">
        <f t="shared" si="10"/>
        <v>0</v>
      </c>
      <c r="AW112" s="326">
        <f t="shared" si="13"/>
        <v>0</v>
      </c>
      <c r="AX112" s="288">
        <f t="shared" si="14"/>
        <v>0</v>
      </c>
      <c r="AY112" s="327">
        <f t="shared" si="15"/>
        <v>0</v>
      </c>
      <c r="AZ112" s="288">
        <f t="shared" si="11"/>
        <v>0</v>
      </c>
      <c r="BA112" s="288"/>
    </row>
    <row r="113" spans="45:53" s="246" customFormat="1" ht="15" x14ac:dyDescent="0.2">
      <c r="AS113" s="288" t="str">
        <f t="shared" si="9"/>
        <v/>
      </c>
      <c r="AT113" s="326">
        <f t="shared" si="12"/>
        <v>0</v>
      </c>
      <c r="AU113" s="326"/>
      <c r="AV113" s="326">
        <f t="shared" si="10"/>
        <v>0</v>
      </c>
      <c r="AW113" s="326">
        <f t="shared" si="13"/>
        <v>0</v>
      </c>
      <c r="AX113" s="288">
        <f t="shared" si="14"/>
        <v>0</v>
      </c>
      <c r="AY113" s="327">
        <f t="shared" si="15"/>
        <v>0</v>
      </c>
      <c r="AZ113" s="288">
        <f t="shared" si="11"/>
        <v>0</v>
      </c>
      <c r="BA113" s="288"/>
    </row>
    <row r="114" spans="45:53" s="246" customFormat="1" ht="15" x14ac:dyDescent="0.2">
      <c r="AS114" s="288" t="str">
        <f t="shared" si="9"/>
        <v/>
      </c>
      <c r="AT114" s="326">
        <f t="shared" si="12"/>
        <v>0</v>
      </c>
      <c r="AU114" s="326"/>
      <c r="AV114" s="326">
        <f t="shared" si="10"/>
        <v>0</v>
      </c>
      <c r="AW114" s="326">
        <f t="shared" si="13"/>
        <v>0</v>
      </c>
      <c r="AX114" s="288">
        <f t="shared" si="14"/>
        <v>0</v>
      </c>
      <c r="AY114" s="327">
        <f t="shared" si="15"/>
        <v>0</v>
      </c>
      <c r="AZ114" s="288">
        <f t="shared" si="11"/>
        <v>0</v>
      </c>
      <c r="BA114" s="288"/>
    </row>
    <row r="115" spans="45:53" s="246" customFormat="1" ht="15" x14ac:dyDescent="0.2">
      <c r="BA115" s="288"/>
    </row>
    <row r="116" spans="45:53" s="246" customFormat="1" ht="15" x14ac:dyDescent="0.2">
      <c r="BA116" s="288"/>
    </row>
    <row r="117" spans="45:53" s="246" customFormat="1" ht="15" x14ac:dyDescent="0.2">
      <c r="BA117" s="288"/>
    </row>
    <row r="118" spans="45:53" s="246" customFormat="1" ht="15" x14ac:dyDescent="0.2">
      <c r="BA118" s="288"/>
    </row>
    <row r="119" spans="45:53" ht="15" x14ac:dyDescent="0.2">
      <c r="BA119" s="232"/>
    </row>
  </sheetData>
  <mergeCells count="68">
    <mergeCell ref="J37:N37"/>
    <mergeCell ref="O37:P37"/>
    <mergeCell ref="D38:G38"/>
    <mergeCell ref="R38:T38"/>
    <mergeCell ref="B23:E26"/>
    <mergeCell ref="F31:F34"/>
    <mergeCell ref="R33:V33"/>
    <mergeCell ref="B36:B38"/>
    <mergeCell ref="D36:F36"/>
    <mergeCell ref="H36:I36"/>
    <mergeCell ref="J36:N36"/>
    <mergeCell ref="O36:P36"/>
    <mergeCell ref="D37:F37"/>
    <mergeCell ref="H37:I37"/>
    <mergeCell ref="L17:M17"/>
    <mergeCell ref="T17:U17"/>
    <mergeCell ref="T18:U18"/>
    <mergeCell ref="T19:U19"/>
    <mergeCell ref="F21:F24"/>
    <mergeCell ref="Q21:Q25"/>
    <mergeCell ref="R21:S22"/>
    <mergeCell ref="U21:W22"/>
    <mergeCell ref="Q13:Q14"/>
    <mergeCell ref="T13:U13"/>
    <mergeCell ref="V13:W13"/>
    <mergeCell ref="B14:B18"/>
    <mergeCell ref="C14:C15"/>
    <mergeCell ref="D14:D15"/>
    <mergeCell ref="F14:F15"/>
    <mergeCell ref="G14:G15"/>
    <mergeCell ref="T14:U14"/>
    <mergeCell ref="V14:W14"/>
    <mergeCell ref="T15:U15"/>
    <mergeCell ref="C16:C17"/>
    <mergeCell ref="D16:D17"/>
    <mergeCell ref="F16:F17"/>
    <mergeCell ref="G16:G17"/>
    <mergeCell ref="T16:U16"/>
    <mergeCell ref="V10:W10"/>
    <mergeCell ref="Z10:AA10"/>
    <mergeCell ref="T11:U11"/>
    <mergeCell ref="V11:W11"/>
    <mergeCell ref="T12:U12"/>
    <mergeCell ref="V12:W12"/>
    <mergeCell ref="AE6:AE7"/>
    <mergeCell ref="B7:B11"/>
    <mergeCell ref="Q8:Q11"/>
    <mergeCell ref="T8:U8"/>
    <mergeCell ref="V8:W8"/>
    <mergeCell ref="C9:D9"/>
    <mergeCell ref="T9:U9"/>
    <mergeCell ref="V9:W9"/>
    <mergeCell ref="Z9:AA9"/>
    <mergeCell ref="T10:U10"/>
    <mergeCell ref="C6:D6"/>
    <mergeCell ref="I6:J6"/>
    <mergeCell ref="L6:M6"/>
    <mergeCell ref="T6:U6"/>
    <mergeCell ref="V6:W6"/>
    <mergeCell ref="AD6:AD7"/>
    <mergeCell ref="S2:T3"/>
    <mergeCell ref="Z2:AB3"/>
    <mergeCell ref="B4:D5"/>
    <mergeCell ref="F4:G5"/>
    <mergeCell ref="T4:U4"/>
    <mergeCell ref="V4:W4"/>
    <mergeCell ref="T5:U5"/>
    <mergeCell ref="V5:W5"/>
  </mergeCells>
  <phoneticPr fontId="49" type="noConversion"/>
  <dataValidations count="3">
    <dataValidation type="list" allowBlank="1" showInputMessage="1" sqref="K9">
      <formula1>$C$30:$G$30</formula1>
    </dataValidation>
    <dataValidation type="list" allowBlank="1" showInputMessage="1" sqref="K14">
      <formula1>$C$21:$G$21</formula1>
    </dataValidation>
    <dataValidation type="list" allowBlank="1" showInputMessage="1" sqref="K15">
      <formula1>$C$28:$G$28</formula1>
    </dataValidation>
  </dataValidations>
  <hyperlinks>
    <hyperlink ref="H38" r:id="rId1" location="Grantstructure"/>
  </hyperlinks>
  <pageMargins left="0.7" right="0.7" top="0.75" bottom="0.75" header="0.3" footer="0.3"/>
  <legacyDrawing r:id="rId2"/>
  <extLst>
    <ext xmlns:x14="http://schemas.microsoft.com/office/spreadsheetml/2009/9/main" uri="{CCE6A557-97BC-4b89-ADB6-D9C93CAAB3DF}">
      <x14:dataValidations xmlns:xm="http://schemas.microsoft.com/office/excel/2006/main" count="36">
        <x14:dataValidation type="list" allowBlank="1" showInputMessage="1">
          <x14:formula1>
            <xm:f>Parameters!$D$5:$H$5</xm:f>
          </x14:formula1>
          <xm:sqref>G7</xm:sqref>
        </x14:dataValidation>
        <x14:dataValidation type="list" allowBlank="1" showInputMessage="1">
          <x14:formula1>
            <xm:f>Parameters!$D$9:$H$9</xm:f>
          </x14:formula1>
          <xm:sqref>G10</xm:sqref>
        </x14:dataValidation>
        <x14:dataValidation type="list" allowBlank="1" showInputMessage="1">
          <x14:formula1>
            <xm:f>Parameters!$D$8:$H$8</xm:f>
          </x14:formula1>
          <xm:sqref>G8</xm:sqref>
        </x14:dataValidation>
        <x14:dataValidation type="list" allowBlank="1" showInputMessage="1">
          <x14:formula1>
            <xm:f>Parameters!$D$32:$H$32</xm:f>
          </x14:formula1>
          <xm:sqref>G18</xm:sqref>
        </x14:dataValidation>
        <x14:dataValidation type="list" allowBlank="1" showInputMessage="1">
          <x14:formula1>
            <xm:f>Parameters!$D$7:$H$7</xm:f>
          </x14:formula1>
          <xm:sqref>G9</xm:sqref>
        </x14:dataValidation>
        <x14:dataValidation type="list" allowBlank="1" showInputMessage="1">
          <x14:formula1>
            <xm:f>Parameters!$D$4:$H$4</xm:f>
          </x14:formula1>
          <xm:sqref>D7</xm:sqref>
        </x14:dataValidation>
        <x14:dataValidation type="list" allowBlank="1" showInputMessage="1">
          <x14:formula1>
            <xm:f>Parameters!$D$14:$H$14</xm:f>
          </x14:formula1>
          <xm:sqref>J17:K17</xm:sqref>
        </x14:dataValidation>
        <x14:dataValidation type="list" allowBlank="1" showInputMessage="1">
          <x14:formula1>
            <xm:f>Parameters!$D$17:$H$17</xm:f>
          </x14:formula1>
          <xm:sqref>J18:K18</xm:sqref>
        </x14:dataValidation>
        <x14:dataValidation type="list" allowBlank="1" showInputMessage="1">
          <x14:formula1>
            <xm:f>Parameters!$D$21:$H$21</xm:f>
          </x14:formula1>
          <xm:sqref>J16:K16</xm:sqref>
        </x14:dataValidation>
        <x14:dataValidation type="list" allowBlank="1" showInputMessage="1">
          <x14:formula1>
            <xm:f>Parameters!$D$18:$H$18</xm:f>
          </x14:formula1>
          <xm:sqref>J10</xm:sqref>
        </x14:dataValidation>
        <x14:dataValidation type="list" allowBlank="1" showInputMessage="1">
          <x14:formula1>
            <xm:f>Parameters!$E$23:$G$23</xm:f>
          </x14:formula1>
          <xm:sqref>K7</xm:sqref>
        </x14:dataValidation>
        <x14:dataValidation type="list" allowBlank="1" showInputMessage="1">
          <x14:formula1>
            <xm:f>Parameters!$D$23:$H$23</xm:f>
          </x14:formula1>
          <xm:sqref>J7</xm:sqref>
        </x14:dataValidation>
        <x14:dataValidation type="list" allowBlank="1" showInputMessage="1">
          <x14:formula1>
            <xm:f>Parameters!$E$16:$I$16</xm:f>
          </x14:formula1>
          <xm:sqref>K10</xm:sqref>
        </x14:dataValidation>
        <x14:dataValidation type="list" allowBlank="1" showInputMessage="1">
          <x14:formula1>
            <xm:f>Parameters!$D$16:$H$16</xm:f>
          </x14:formula1>
          <xm:sqref>J8</xm:sqref>
        </x14:dataValidation>
        <x14:dataValidation type="list" allowBlank="1" showInputMessage="1">
          <x14:formula1>
            <xm:f>Parameters!$D$36:$H$36</xm:f>
          </x14:formula1>
          <xm:sqref>M7</xm:sqref>
        </x14:dataValidation>
        <x14:dataValidation type="list" allowBlank="1" showInputMessage="1">
          <x14:formula1>
            <xm:f>Parameters!$D$37:$H$37</xm:f>
          </x14:formula1>
          <xm:sqref>M8</xm:sqref>
        </x14:dataValidation>
        <x14:dataValidation type="list" allowBlank="1" showInputMessage="1">
          <x14:formula1>
            <xm:f>Parameters!$D$38:$H$38</xm:f>
          </x14:formula1>
          <xm:sqref>M9</xm:sqref>
        </x14:dataValidation>
        <x14:dataValidation type="list" allowBlank="1" showInputMessage="1">
          <x14:formula1>
            <xm:f>Parameters!$D$39:$H$39</xm:f>
          </x14:formula1>
          <xm:sqref>M10</xm:sqref>
        </x14:dataValidation>
        <x14:dataValidation type="list" allowBlank="1" showInputMessage="1">
          <x14:formula1>
            <xm:f>Parameters!$D$40:$H$40</xm:f>
          </x14:formula1>
          <xm:sqref>M11</xm:sqref>
        </x14:dataValidation>
        <x14:dataValidation type="list" allowBlank="1" showInputMessage="1">
          <x14:formula1>
            <xm:f>Parameters!$D$41:$H$41</xm:f>
          </x14:formula1>
          <xm:sqref>M12</xm:sqref>
        </x14:dataValidation>
        <x14:dataValidation type="list" allowBlank="1" showInputMessage="1">
          <x14:formula1>
            <xm:f>Parameters!$D$42:$H$42</xm:f>
          </x14:formula1>
          <xm:sqref>M13</xm:sqref>
        </x14:dataValidation>
        <x14:dataValidation type="list" allowBlank="1" showInputMessage="1">
          <x14:formula1>
            <xm:f>Parameters!$D$43:$H$43</xm:f>
          </x14:formula1>
          <xm:sqref>M14</xm:sqref>
        </x14:dataValidation>
        <x14:dataValidation type="list" allowBlank="1" showInputMessage="1">
          <x14:formula1>
            <xm:f>Parameters!$D$44:$H$44</xm:f>
          </x14:formula1>
          <xm:sqref>M15</xm:sqref>
        </x14:dataValidation>
        <x14:dataValidation type="list" allowBlank="1" showInputMessage="1">
          <x14:formula1>
            <xm:f>Parameters!$D$25:$H$25</xm:f>
          </x14:formula1>
          <xm:sqref>J9</xm:sqref>
        </x14:dataValidation>
        <x14:dataValidation type="list" allowBlank="1" showInputMessage="1">
          <x14:formula1>
            <xm:f>Parameters!$D$24:$H$24</xm:f>
          </x14:formula1>
          <xm:sqref>J11</xm:sqref>
        </x14:dataValidation>
        <x14:dataValidation type="list" allowBlank="1" showInputMessage="1">
          <x14:formula1>
            <xm:f>Parameters!$D$15:$H$15</xm:f>
          </x14:formula1>
          <xm:sqref>J15</xm:sqref>
        </x14:dataValidation>
        <x14:dataValidation type="list" allowBlank="1" showInputMessage="1">
          <x14:formula1>
            <xm:f>Parameters!$D$22:$H$22</xm:f>
          </x14:formula1>
          <xm:sqref>J14</xm:sqref>
        </x14:dataValidation>
        <x14:dataValidation type="list" allowBlank="1" showInputMessage="1">
          <x14:formula1>
            <xm:f>Parameters!$D$28:$H$28</xm:f>
          </x14:formula1>
          <xm:sqref>G16</xm:sqref>
        </x14:dataValidation>
        <x14:dataValidation type="list" allowBlank="1" showInputMessage="1">
          <x14:formula1>
            <xm:f>Parameters!$D$10:$H$10</xm:f>
          </x14:formula1>
          <xm:sqref>G14</xm:sqref>
        </x14:dataValidation>
        <x14:dataValidation type="list" allowBlank="1" showInputMessage="1">
          <x14:formula1>
            <xm:f>Parameters!$D$56:$H$56</xm:f>
          </x14:formula1>
          <xm:sqref>D14</xm:sqref>
        </x14:dataValidation>
        <x14:dataValidation type="list" allowBlank="1" showInputMessage="1">
          <x14:formula1>
            <xm:f>Parameters!$D$55:$H$55</xm:f>
          </x14:formula1>
          <xm:sqref>D11</xm:sqref>
        </x14:dataValidation>
        <x14:dataValidation type="list" allowBlank="1" showInputMessage="1">
          <x14:formula1>
            <xm:f>Parameters!$D$54:$H$54</xm:f>
          </x14:formula1>
          <xm:sqref>D10</xm:sqref>
        </x14:dataValidation>
        <x14:dataValidation type="list" allowBlank="1" showInputMessage="1">
          <x14:formula1>
            <xm:f>Parameters!$D$57:$H$57</xm:f>
          </x14:formula1>
          <xm:sqref>D16:D17</xm:sqref>
        </x14:dataValidation>
        <x14:dataValidation type="list" allowBlank="1" showInputMessage="1">
          <x14:formula1>
            <xm:f>Parameters!$D$33:$H$33</xm:f>
          </x14:formula1>
          <xm:sqref>G11</xm:sqref>
        </x14:dataValidation>
        <x14:dataValidation type="list" allowBlank="1" showInputMessage="1">
          <x14:formula1>
            <xm:f>Parameters!$D$6:$H$6</xm:f>
          </x14:formula1>
          <xm:sqref>G13</xm:sqref>
        </x14:dataValidation>
        <x14:dataValidation type="list" allowBlank="1" showInputMessage="1">
          <x14:formula1>
            <xm:f>Parameters!$D$51:$H$51</xm:f>
          </x14:formula1>
          <xm:sqref>M18</xm:sqref>
        </x14:dataValidation>
      </x14:dataValidations>
    </ext>
  </extLst>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B119"/>
  <sheetViews>
    <sheetView workbookViewId="0"/>
  </sheetViews>
  <sheetFormatPr baseColWidth="10" defaultColWidth="8.83203125" defaultRowHeight="11" x14ac:dyDescent="0.15"/>
  <cols>
    <col min="1" max="1" width="1.5" style="233" customWidth="1"/>
    <col min="2" max="2" width="9.5" style="233" customWidth="1"/>
    <col min="3" max="3" width="14.5" style="233" customWidth="1"/>
    <col min="4" max="4" width="5.83203125" style="233" customWidth="1"/>
    <col min="5" max="5" width="1.83203125" style="233" customWidth="1"/>
    <col min="6" max="6" width="21.5" style="233" customWidth="1"/>
    <col min="7" max="7" width="13.5" style="233" customWidth="1"/>
    <col min="8" max="8" width="1.5" style="233" customWidth="1"/>
    <col min="9" max="9" width="16.5" style="233" customWidth="1"/>
    <col min="10" max="10" width="8.5" style="233" customWidth="1"/>
    <col min="11" max="11" width="1.5" style="233" customWidth="1"/>
    <col min="12" max="12" width="22.83203125" style="233" customWidth="1"/>
    <col min="13" max="13" width="8.5" style="233" customWidth="1"/>
    <col min="14" max="14" width="0.83203125" style="233" customWidth="1"/>
    <col min="15" max="15" width="2.83203125" style="233" customWidth="1"/>
    <col min="16" max="16" width="2.5" style="233" customWidth="1"/>
    <col min="17" max="17" width="15.5" style="233" customWidth="1"/>
    <col min="18" max="18" width="30.83203125" style="233" customWidth="1"/>
    <col min="19" max="19" width="23.5" style="233" customWidth="1"/>
    <col min="20" max="20" width="1" style="233" customWidth="1"/>
    <col min="21" max="21" width="24.5" style="233" customWidth="1"/>
    <col min="22" max="23" width="12.5" style="233" customWidth="1"/>
    <col min="24" max="24" width="12.5" style="246" customWidth="1"/>
    <col min="25" max="25" width="13.5" style="233" customWidth="1"/>
    <col min="26" max="26" width="14.1640625" style="233" customWidth="1"/>
    <col min="27" max="28" width="11.5" style="233" customWidth="1"/>
    <col min="29" max="29" width="2.5" style="233" customWidth="1"/>
    <col min="30" max="30" width="28.5" style="233" customWidth="1"/>
    <col min="31" max="31" width="14.5" style="233" bestFit="1" customWidth="1"/>
    <col min="32" max="16384" width="8.83203125" style="233"/>
  </cols>
  <sheetData>
    <row r="1" spans="1:54" ht="6" customHeight="1" thickBot="1" x14ac:dyDescent="0.35">
      <c r="A1" s="274"/>
      <c r="B1" s="246"/>
      <c r="C1" s="246"/>
      <c r="D1" s="246"/>
      <c r="E1" s="246"/>
      <c r="F1" s="246"/>
      <c r="G1" s="246"/>
      <c r="H1" s="246"/>
      <c r="I1" s="246"/>
      <c r="J1" s="246"/>
      <c r="K1" s="246"/>
      <c r="L1" s="246"/>
      <c r="M1" s="246"/>
      <c r="N1" s="246"/>
      <c r="O1" s="246"/>
      <c r="P1" s="246"/>
      <c r="Q1" s="246"/>
      <c r="R1" s="254"/>
      <c r="S1" s="246"/>
      <c r="T1" s="246"/>
      <c r="U1" s="246"/>
      <c r="V1" s="246"/>
      <c r="W1" s="246"/>
      <c r="Y1" s="246"/>
      <c r="Z1" s="246"/>
      <c r="AA1" s="246"/>
      <c r="AB1" s="246"/>
      <c r="AC1" s="246"/>
      <c r="AD1" s="246"/>
      <c r="AE1" s="246"/>
      <c r="AF1" s="246"/>
      <c r="AG1" s="246"/>
      <c r="AH1" s="246"/>
      <c r="AI1" s="246"/>
      <c r="AJ1" s="246"/>
      <c r="AK1" s="246"/>
      <c r="AL1" s="246"/>
      <c r="AM1" s="246"/>
      <c r="AN1" s="246"/>
      <c r="AO1" s="246"/>
      <c r="AP1" s="246"/>
      <c r="AQ1" s="246"/>
    </row>
    <row r="2" spans="1:54" ht="15" customHeight="1" x14ac:dyDescent="0.25">
      <c r="A2" s="246"/>
      <c r="B2" s="246"/>
      <c r="C2" s="334"/>
      <c r="D2" s="249"/>
      <c r="E2" s="249"/>
      <c r="F2" s="246"/>
      <c r="G2" s="246"/>
      <c r="H2" s="246"/>
      <c r="I2" s="246"/>
      <c r="J2" s="246"/>
      <c r="K2" s="274"/>
      <c r="L2" s="386"/>
      <c r="M2" s="274"/>
      <c r="N2" s="246"/>
      <c r="O2" s="246"/>
      <c r="P2" s="246"/>
      <c r="Q2" s="246"/>
      <c r="S2" s="553" t="s">
        <v>409</v>
      </c>
      <c r="T2" s="554"/>
      <c r="U2" s="333"/>
      <c r="V2" s="333"/>
      <c r="W2" s="333"/>
      <c r="X2" s="333"/>
      <c r="Y2" s="246"/>
      <c r="Z2" s="557" t="s">
        <v>290</v>
      </c>
      <c r="AA2" s="558"/>
      <c r="AB2" s="559"/>
      <c r="AC2" s="246"/>
      <c r="AD2" s="246"/>
      <c r="AE2" s="246"/>
      <c r="AF2" s="246"/>
      <c r="AG2" s="246"/>
      <c r="AH2" s="246"/>
      <c r="AI2" s="246"/>
      <c r="AJ2" s="246"/>
      <c r="AK2" s="246"/>
      <c r="AL2" s="246"/>
      <c r="AM2" s="246"/>
      <c r="AN2" s="246"/>
      <c r="AO2" s="246"/>
      <c r="AP2" s="246"/>
      <c r="AQ2" s="246"/>
      <c r="AS2" s="232" t="s">
        <v>477</v>
      </c>
      <c r="AT2" s="232" t="s">
        <v>478</v>
      </c>
      <c r="AU2" s="232" t="s">
        <v>479</v>
      </c>
      <c r="AV2" s="232" t="s">
        <v>480</v>
      </c>
      <c r="AW2" s="232" t="s">
        <v>481</v>
      </c>
      <c r="AX2" s="232" t="s">
        <v>482</v>
      </c>
      <c r="AY2" s="232" t="s">
        <v>483</v>
      </c>
      <c r="AZ2" s="232" t="s">
        <v>432</v>
      </c>
      <c r="BA2" s="232" t="s">
        <v>485</v>
      </c>
    </row>
    <row r="3" spans="1:54" ht="19.5" customHeight="1" thickBot="1" x14ac:dyDescent="0.3">
      <c r="A3" s="246"/>
      <c r="B3" s="334"/>
      <c r="C3" s="334"/>
      <c r="D3" s="249"/>
      <c r="E3" s="249"/>
      <c r="F3" s="246"/>
      <c r="G3" s="246"/>
      <c r="H3" s="246"/>
      <c r="I3" s="246"/>
      <c r="J3" s="246"/>
      <c r="K3" s="274"/>
      <c r="L3" s="274"/>
      <c r="M3" s="274"/>
      <c r="N3" s="246"/>
      <c r="O3" s="246"/>
      <c r="P3" s="246"/>
      <c r="Q3" s="246"/>
      <c r="R3" s="333"/>
      <c r="S3" s="555"/>
      <c r="T3" s="556"/>
      <c r="U3" s="333"/>
      <c r="V3" s="333"/>
      <c r="W3" s="333"/>
      <c r="X3" s="333"/>
      <c r="Y3" s="246"/>
      <c r="Z3" s="560"/>
      <c r="AA3" s="561"/>
      <c r="AB3" s="562"/>
      <c r="AC3" s="246"/>
      <c r="AD3" s="246"/>
      <c r="AE3" s="246"/>
      <c r="AF3" s="246"/>
      <c r="AG3" s="246"/>
      <c r="AH3" s="246"/>
      <c r="AI3" s="246"/>
      <c r="AJ3" s="246"/>
      <c r="AK3" s="246"/>
      <c r="AL3" s="246"/>
      <c r="AM3" s="246"/>
      <c r="AN3" s="246"/>
      <c r="AO3" s="246"/>
      <c r="AP3" s="246"/>
      <c r="AQ3" s="246"/>
      <c r="AS3" s="232"/>
      <c r="AT3" s="232"/>
      <c r="AU3" s="232"/>
      <c r="AV3" s="232"/>
      <c r="AW3" s="232"/>
      <c r="AX3" s="232"/>
      <c r="AY3" s="232"/>
      <c r="AZ3" s="232"/>
      <c r="BA3" s="232"/>
    </row>
    <row r="4" spans="1:54" ht="40.75" customHeight="1" x14ac:dyDescent="0.2">
      <c r="A4" s="246"/>
      <c r="B4" s="563" t="s">
        <v>365</v>
      </c>
      <c r="C4" s="563"/>
      <c r="D4" s="563"/>
      <c r="E4" s="336"/>
      <c r="F4" s="565" t="s">
        <v>408</v>
      </c>
      <c r="G4" s="566"/>
      <c r="H4" s="249"/>
      <c r="I4" s="246"/>
      <c r="J4" s="246"/>
      <c r="K4" s="246"/>
      <c r="L4" s="246"/>
      <c r="M4" s="246"/>
      <c r="N4" s="277"/>
      <c r="O4" s="277"/>
      <c r="P4" s="277"/>
      <c r="Q4" s="332"/>
      <c r="R4" s="457" t="s">
        <v>393</v>
      </c>
      <c r="S4" s="457" t="s">
        <v>245</v>
      </c>
      <c r="T4" s="569" t="s">
        <v>244</v>
      </c>
      <c r="U4" s="569"/>
      <c r="V4" s="569" t="s">
        <v>395</v>
      </c>
      <c r="W4" s="570"/>
      <c r="X4" s="238"/>
      <c r="Y4" s="246"/>
      <c r="Z4" s="369" t="s">
        <v>291</v>
      </c>
      <c r="AA4" s="370"/>
      <c r="AB4" s="371"/>
      <c r="AC4" s="242"/>
      <c r="AD4" s="372" t="s">
        <v>292</v>
      </c>
      <c r="AE4" s="373"/>
      <c r="AF4" s="246"/>
      <c r="AG4" s="246"/>
      <c r="AH4" s="246"/>
      <c r="AI4" s="246"/>
      <c r="AJ4" s="246"/>
      <c r="AK4" s="246"/>
      <c r="AL4" s="246"/>
      <c r="AM4" s="246"/>
      <c r="AN4" s="246"/>
      <c r="AO4" s="246"/>
      <c r="AP4" s="246"/>
      <c r="AQ4" s="246"/>
      <c r="AS4" s="232">
        <v>0</v>
      </c>
      <c r="AT4" s="278">
        <f>Q37</f>
        <v>212.7659574468085</v>
      </c>
      <c r="AU4" s="278">
        <f>(1-$D$11)*AT4</f>
        <v>127.6595744680851</v>
      </c>
      <c r="AV4" s="278"/>
      <c r="AW4" s="232"/>
      <c r="AX4" s="232">
        <f>IF(ISNUMBER(AS5),SUM(AU4:AV4),SUM(AU4:AW4))</f>
        <v>127.6595744680851</v>
      </c>
      <c r="AY4" s="279">
        <f t="shared" ref="AY4:AY30" si="0">LN(AX4+$J$37)-LN($J$37)</f>
        <v>0.36913541566724817</v>
      </c>
      <c r="AZ4" s="232">
        <f>IF(ISNUMBER(AS4),AY4/(1+$D$7)^AS4,0)</f>
        <v>0.36913541566724817</v>
      </c>
      <c r="BA4" s="232"/>
    </row>
    <row r="5" spans="1:54" ht="10.75" customHeight="1" thickBot="1" x14ac:dyDescent="0.25">
      <c r="A5" s="246"/>
      <c r="B5" s="564"/>
      <c r="C5" s="564"/>
      <c r="D5" s="564"/>
      <c r="E5" s="335"/>
      <c r="F5" s="567"/>
      <c r="G5" s="568"/>
      <c r="H5" s="256"/>
      <c r="I5" s="256"/>
      <c r="J5" s="246"/>
      <c r="K5" s="246"/>
      <c r="L5" s="246"/>
      <c r="M5" s="246"/>
      <c r="N5" s="246"/>
      <c r="O5" s="246"/>
      <c r="P5" s="246"/>
      <c r="Q5" s="459" t="s">
        <v>411</v>
      </c>
      <c r="R5" s="458">
        <f>D37/(1+D7)^10</f>
        <v>0.16514266520246426</v>
      </c>
      <c r="S5" s="458">
        <f>R5*(1-1/(1+D7)^G16)/(1-1/(1+D7))</f>
        <v>2.1609447617948048</v>
      </c>
      <c r="T5" s="582">
        <f>S5*G11*G7*G9*G18*G8/G37</f>
        <v>5.6358593054187715E-2</v>
      </c>
      <c r="U5" s="582"/>
      <c r="V5" s="572">
        <f>$G$14*$G$10</f>
        <v>5.2824539999999998E-3</v>
      </c>
      <c r="W5" s="573"/>
      <c r="X5" s="238"/>
      <c r="Y5" s="246"/>
      <c r="Z5" s="357" t="s">
        <v>121</v>
      </c>
      <c r="AA5" s="358"/>
      <c r="AB5" s="359"/>
      <c r="AC5" s="247"/>
      <c r="AD5" s="238"/>
      <c r="AE5" s="244"/>
      <c r="AF5" s="246"/>
      <c r="AG5" s="246"/>
      <c r="AH5" s="246"/>
      <c r="AI5" s="246"/>
      <c r="AJ5" s="246"/>
      <c r="AK5" s="246"/>
      <c r="AL5" s="246"/>
      <c r="AM5" s="246"/>
      <c r="AN5" s="246"/>
      <c r="AO5" s="246"/>
      <c r="AP5" s="246"/>
      <c r="AQ5" s="246"/>
      <c r="AS5" s="232">
        <f t="shared" ref="AS5:AS68" si="1">IF(AS4&lt;$D$14,AS4+1,"")</f>
        <v>1</v>
      </c>
      <c r="AT5" s="278">
        <f>AT4-AU4</f>
        <v>85.106382978723403</v>
      </c>
      <c r="AU5" s="278"/>
      <c r="AV5" s="278">
        <f t="shared" ref="AV5:AV71" si="2">$D$10*AT5</f>
        <v>16.170212765957448</v>
      </c>
      <c r="AW5" s="278">
        <f>AT5</f>
        <v>85.106382978723403</v>
      </c>
      <c r="AX5" s="232">
        <f t="shared" ref="AX5:AX14" si="3">IF(ISNUMBER(AS6),SUM(AU5:AV5),SUM(AU5:AW5))</f>
        <v>16.170212765957448</v>
      </c>
      <c r="AY5" s="279">
        <f t="shared" si="0"/>
        <v>5.5013210766133191E-2</v>
      </c>
      <c r="AZ5" s="232">
        <f t="shared" ref="AZ5:AZ71" si="4">IF(ISNUMBER(AS5),AY5/(1+$D$7)^AS5,0)</f>
        <v>5.2393534062983992E-2</v>
      </c>
      <c r="BA5" s="232">
        <f>SUM(AZ5:AZ114)</f>
        <v>0.77913213668565851</v>
      </c>
      <c r="BB5" s="233">
        <f>SUM(AZ5:AZ23)</f>
        <v>0.66485230362920567</v>
      </c>
    </row>
    <row r="6" spans="1:54" ht="15" customHeight="1" x14ac:dyDescent="0.2">
      <c r="A6" s="246"/>
      <c r="B6" s="242"/>
      <c r="C6" s="587" t="s">
        <v>540</v>
      </c>
      <c r="D6" s="587"/>
      <c r="E6" s="271"/>
      <c r="F6" s="350" t="s">
        <v>541</v>
      </c>
      <c r="G6" s="351"/>
      <c r="H6" s="272"/>
      <c r="I6" s="587" t="s">
        <v>567</v>
      </c>
      <c r="J6" s="587"/>
      <c r="K6" s="272"/>
      <c r="L6" s="588" t="s">
        <v>390</v>
      </c>
      <c r="M6" s="588"/>
      <c r="N6" s="243"/>
      <c r="O6" s="238"/>
      <c r="P6" s="246"/>
      <c r="Q6" s="459" t="s">
        <v>412</v>
      </c>
      <c r="R6" s="458">
        <f>(M15*M11)/(1+D7)^10</f>
        <v>0</v>
      </c>
      <c r="S6" s="458">
        <f>R6*(1-1/(1+D7)^G16)/(1-1/(1+D7))</f>
        <v>0</v>
      </c>
      <c r="T6" s="582">
        <f>S6*M8*M9*M14*(W37/V37)*G11</f>
        <v>0</v>
      </c>
      <c r="U6" s="582"/>
      <c r="V6" s="572">
        <v>0</v>
      </c>
      <c r="W6" s="589"/>
      <c r="X6" s="238"/>
      <c r="Y6" s="246"/>
      <c r="Z6" s="360" t="s">
        <v>570</v>
      </c>
      <c r="AA6" s="361"/>
      <c r="AB6" s="362">
        <f>$G$7*$G$8*$G$9*G$18*$J7</f>
        <v>1.104861645021645E-2</v>
      </c>
      <c r="AC6" s="247"/>
      <c r="AD6" s="590" t="s">
        <v>123</v>
      </c>
      <c r="AE6" s="574">
        <f>G10</f>
        <v>3</v>
      </c>
      <c r="AF6" s="246"/>
      <c r="AG6" s="246"/>
      <c r="AH6" s="246"/>
      <c r="AI6" s="246"/>
      <c r="AJ6" s="246"/>
      <c r="AK6" s="246"/>
      <c r="AL6" s="246"/>
      <c r="AM6" s="246"/>
      <c r="AN6" s="246"/>
      <c r="AO6" s="246"/>
      <c r="AP6" s="246"/>
      <c r="AQ6" s="246"/>
      <c r="AS6" s="232">
        <f t="shared" si="1"/>
        <v>2</v>
      </c>
      <c r="AT6" s="278">
        <f t="shared" ref="AT6:AT72" si="5">IF(ISNUMBER(AS6),AW5,0)</f>
        <v>85.106382978723403</v>
      </c>
      <c r="AU6" s="278"/>
      <c r="AV6" s="278">
        <f t="shared" si="2"/>
        <v>16.170212765957448</v>
      </c>
      <c r="AW6" s="278">
        <f t="shared" ref="AW6:AW72" si="6">AT6</f>
        <v>85.106382978723403</v>
      </c>
      <c r="AX6" s="232">
        <f t="shared" si="3"/>
        <v>16.170212765957448</v>
      </c>
      <c r="AY6" s="279">
        <f t="shared" si="0"/>
        <v>5.5013210766133191E-2</v>
      </c>
      <c r="AZ6" s="232">
        <f t="shared" si="4"/>
        <v>4.9898603869508562E-2</v>
      </c>
      <c r="BA6" s="232"/>
    </row>
    <row r="7" spans="1:54" ht="20.5" customHeight="1" x14ac:dyDescent="0.2">
      <c r="A7" s="246"/>
      <c r="B7" s="576" t="s">
        <v>573</v>
      </c>
      <c r="C7" s="301" t="s">
        <v>528</v>
      </c>
      <c r="D7" s="139">
        <v>0.05</v>
      </c>
      <c r="E7" s="234"/>
      <c r="F7" s="321" t="s">
        <v>532</v>
      </c>
      <c r="G7" s="338">
        <v>0.30254930254930251</v>
      </c>
      <c r="H7" s="236"/>
      <c r="I7" s="321" t="s">
        <v>536</v>
      </c>
      <c r="J7" s="381">
        <v>0.25359999999999999</v>
      </c>
      <c r="K7" s="314"/>
      <c r="L7" s="321" t="s">
        <v>397</v>
      </c>
      <c r="M7" s="324"/>
      <c r="N7" s="244"/>
      <c r="O7" s="238"/>
      <c r="P7" s="246"/>
      <c r="Q7" s="247"/>
      <c r="R7" s="238"/>
      <c r="S7" s="238"/>
      <c r="T7" s="238"/>
      <c r="U7" s="318"/>
      <c r="V7" s="238"/>
      <c r="W7" s="244"/>
      <c r="X7" s="238"/>
      <c r="Y7" s="246"/>
      <c r="Z7" s="360" t="s">
        <v>560</v>
      </c>
      <c r="AA7" s="361"/>
      <c r="AB7" s="362">
        <f>$G$7*$G$8*$G$9*G$18*$J8</f>
        <v>8.0900331693969513E-3</v>
      </c>
      <c r="AC7" s="247"/>
      <c r="AD7" s="591"/>
      <c r="AE7" s="575"/>
      <c r="AF7" s="246"/>
      <c r="AG7" s="246"/>
      <c r="AH7" s="246"/>
      <c r="AI7" s="246"/>
      <c r="AJ7" s="246"/>
      <c r="AK7" s="246"/>
      <c r="AL7" s="246"/>
      <c r="AM7" s="246"/>
      <c r="AN7" s="246"/>
      <c r="AO7" s="246"/>
      <c r="AP7" s="246"/>
      <c r="AQ7" s="246"/>
      <c r="AS7" s="232">
        <f t="shared" si="1"/>
        <v>3</v>
      </c>
      <c r="AT7" s="278">
        <f>IF(ISNUMBER(AS7),AW6,0)</f>
        <v>85.106382978723403</v>
      </c>
      <c r="AU7" s="278"/>
      <c r="AV7" s="278">
        <f t="shared" si="2"/>
        <v>16.170212765957448</v>
      </c>
      <c r="AW7" s="278">
        <f t="shared" si="6"/>
        <v>85.106382978723403</v>
      </c>
      <c r="AX7" s="232">
        <f t="shared" si="3"/>
        <v>16.170212765957448</v>
      </c>
      <c r="AY7" s="279">
        <f t="shared" si="0"/>
        <v>5.5013210766133191E-2</v>
      </c>
      <c r="AZ7" s="232">
        <f t="shared" si="4"/>
        <v>4.7522479875722438E-2</v>
      </c>
      <c r="BA7" s="232"/>
    </row>
    <row r="8" spans="1:54" ht="25" customHeight="1" thickBot="1" x14ac:dyDescent="0.25">
      <c r="A8" s="246"/>
      <c r="B8" s="576"/>
      <c r="C8" s="294"/>
      <c r="D8" s="294"/>
      <c r="E8" s="273"/>
      <c r="F8" s="323" t="s">
        <v>534</v>
      </c>
      <c r="G8" s="245">
        <v>0.6</v>
      </c>
      <c r="H8" s="237"/>
      <c r="I8" s="312" t="s">
        <v>537</v>
      </c>
      <c r="J8" s="379">
        <v>0.18569134162665896</v>
      </c>
      <c r="K8" s="315"/>
      <c r="L8" s="312" t="s">
        <v>391</v>
      </c>
      <c r="M8" s="313"/>
      <c r="N8" s="244"/>
      <c r="O8" s="238"/>
      <c r="P8" s="246"/>
      <c r="Q8" s="577" t="s">
        <v>413</v>
      </c>
      <c r="R8" s="238"/>
      <c r="S8" s="460" t="s">
        <v>246</v>
      </c>
      <c r="T8" s="578" t="s">
        <v>562</v>
      </c>
      <c r="U8" s="578"/>
      <c r="V8" s="578" t="s">
        <v>446</v>
      </c>
      <c r="W8" s="662"/>
      <c r="X8" s="238"/>
      <c r="Y8" s="246"/>
      <c r="Z8" s="360" t="s">
        <v>566</v>
      </c>
      <c r="AA8" s="361"/>
      <c r="AB8" s="362">
        <f>$G$7*$G$8*$G$9*G$18/M18</f>
        <v>1.0891774891774892E-2</v>
      </c>
      <c r="AC8" s="374"/>
      <c r="AD8" s="375" t="s">
        <v>124</v>
      </c>
      <c r="AE8" s="376">
        <f>(AE6*U37)/S5</f>
        <v>50.706987951413844</v>
      </c>
      <c r="AF8" s="246"/>
      <c r="AG8" s="246"/>
      <c r="AH8" s="246"/>
      <c r="AI8" s="246"/>
      <c r="AJ8" s="246"/>
      <c r="AK8" s="246"/>
      <c r="AL8" s="246"/>
      <c r="AM8" s="246"/>
      <c r="AN8" s="246"/>
      <c r="AO8" s="246"/>
      <c r="AP8" s="246"/>
      <c r="AQ8" s="246"/>
      <c r="AS8" s="232">
        <f t="shared" si="1"/>
        <v>4</v>
      </c>
      <c r="AT8" s="278">
        <f t="shared" si="5"/>
        <v>85.106382978723403</v>
      </c>
      <c r="AU8" s="278"/>
      <c r="AV8" s="278">
        <f t="shared" si="2"/>
        <v>16.170212765957448</v>
      </c>
      <c r="AW8" s="278">
        <f t="shared" si="6"/>
        <v>85.106382978723403</v>
      </c>
      <c r="AX8" s="232">
        <f t="shared" si="3"/>
        <v>16.170212765957448</v>
      </c>
      <c r="AY8" s="279">
        <f t="shared" si="0"/>
        <v>5.5013210766133191E-2</v>
      </c>
      <c r="AZ8" s="232">
        <f t="shared" si="4"/>
        <v>4.5259504643545181E-2</v>
      </c>
      <c r="BA8" s="232"/>
    </row>
    <row r="9" spans="1:54" ht="33" x14ac:dyDescent="0.2">
      <c r="A9" s="246"/>
      <c r="B9" s="576"/>
      <c r="C9" s="581" t="s">
        <v>542</v>
      </c>
      <c r="D9" s="581"/>
      <c r="E9" s="234"/>
      <c r="F9" s="312" t="s">
        <v>440</v>
      </c>
      <c r="G9" s="313">
        <v>0.8</v>
      </c>
      <c r="H9" s="237"/>
      <c r="I9" s="312" t="s">
        <v>386</v>
      </c>
      <c r="J9" s="379">
        <v>1</v>
      </c>
      <c r="K9" s="315"/>
      <c r="L9" s="312" t="s">
        <v>392</v>
      </c>
      <c r="M9" s="313"/>
      <c r="N9" s="244"/>
      <c r="O9" s="238"/>
      <c r="P9" s="246"/>
      <c r="Q9" s="577"/>
      <c r="R9" s="253" t="s">
        <v>572</v>
      </c>
      <c r="S9" s="468">
        <f>J11*($T$5*AB13*J14*J7+$V$5*(J7*$G$13))</f>
        <v>1.3747157892547024E-2</v>
      </c>
      <c r="T9" s="582">
        <f>S9/(J16/J9)</f>
        <v>2.6955211554013772E-2</v>
      </c>
      <c r="U9" s="582"/>
      <c r="V9" s="663">
        <f>($G$10*$U$37)/T9</f>
        <v>4065.0766097839705</v>
      </c>
      <c r="W9" s="664"/>
      <c r="X9" s="238"/>
      <c r="Y9" s="387"/>
      <c r="Z9" s="585" t="s">
        <v>288</v>
      </c>
      <c r="AA9" s="586"/>
      <c r="AB9" s="411">
        <v>0.05</v>
      </c>
      <c r="AC9" s="246"/>
      <c r="AD9" s="246"/>
      <c r="AE9" s="388"/>
      <c r="AF9" s="246"/>
      <c r="AG9" s="246"/>
      <c r="AH9" s="246"/>
      <c r="AI9" s="246"/>
      <c r="AJ9" s="246"/>
      <c r="AK9" s="246"/>
      <c r="AL9" s="246"/>
      <c r="AM9" s="246"/>
      <c r="AN9" s="246"/>
      <c r="AO9" s="246"/>
      <c r="AP9" s="246"/>
      <c r="AQ9" s="246"/>
      <c r="AS9" s="232">
        <f t="shared" si="1"/>
        <v>5</v>
      </c>
      <c r="AT9" s="278">
        <f t="shared" si="5"/>
        <v>85.106382978723403</v>
      </c>
      <c r="AU9" s="278"/>
      <c r="AV9" s="278">
        <f t="shared" si="2"/>
        <v>16.170212765957448</v>
      </c>
      <c r="AW9" s="278">
        <f t="shared" si="6"/>
        <v>85.106382978723403</v>
      </c>
      <c r="AX9" s="232">
        <f>IF(ISNUMBER(AS10),SUM(AU9:AV9),SUM(AU9:AW9))</f>
        <v>16.170212765957448</v>
      </c>
      <c r="AY9" s="279">
        <f t="shared" si="0"/>
        <v>5.5013210766133191E-2</v>
      </c>
      <c r="AZ9" s="232">
        <f t="shared" si="4"/>
        <v>4.3104290136709696E-2</v>
      </c>
      <c r="BA9" s="232"/>
    </row>
    <row r="10" spans="1:54" ht="39.75" customHeight="1" x14ac:dyDescent="0.2">
      <c r="A10" s="246"/>
      <c r="B10" s="576"/>
      <c r="C10" s="291" t="s">
        <v>531</v>
      </c>
      <c r="D10" s="292">
        <v>0.19</v>
      </c>
      <c r="E10" s="284"/>
      <c r="F10" s="312" t="s">
        <v>231</v>
      </c>
      <c r="G10" s="503">
        <v>3</v>
      </c>
      <c r="H10" s="285"/>
      <c r="I10" s="312" t="s">
        <v>387</v>
      </c>
      <c r="J10" s="379">
        <v>1</v>
      </c>
      <c r="K10" s="315"/>
      <c r="L10" s="312" t="s">
        <v>406</v>
      </c>
      <c r="M10" s="313"/>
      <c r="N10" s="244"/>
      <c r="O10" s="238"/>
      <c r="P10" s="246"/>
      <c r="Q10" s="577"/>
      <c r="R10" s="253" t="s">
        <v>14</v>
      </c>
      <c r="S10" s="468">
        <f>J18*($T$5*AB14*J15*J8+$V$5*(J8*$G$13))</f>
        <v>9.8107890079994868E-3</v>
      </c>
      <c r="T10" s="582">
        <f>S10/(J17/J10)</f>
        <v>1.8538905910807799E-2</v>
      </c>
      <c r="U10" s="582"/>
      <c r="V10" s="663">
        <f>($G$10*$U$37)/T10</f>
        <v>5910.5429698588659</v>
      </c>
      <c r="W10" s="664"/>
      <c r="X10" s="238"/>
      <c r="Y10" s="246"/>
      <c r="Z10" s="592" t="s">
        <v>289</v>
      </c>
      <c r="AA10" s="593"/>
      <c r="AB10" s="377" t="s">
        <v>287</v>
      </c>
      <c r="AC10" s="246"/>
      <c r="AD10" s="387"/>
      <c r="AE10" s="388"/>
      <c r="AF10" s="246"/>
      <c r="AG10" s="246"/>
      <c r="AH10" s="246"/>
      <c r="AI10" s="246"/>
      <c r="AJ10" s="246"/>
      <c r="AK10" s="246"/>
      <c r="AL10" s="246"/>
      <c r="AM10" s="246"/>
      <c r="AN10" s="246"/>
      <c r="AO10" s="246"/>
      <c r="AP10" s="246"/>
      <c r="AQ10" s="246"/>
      <c r="AS10" s="232">
        <f t="shared" si="1"/>
        <v>6</v>
      </c>
      <c r="AT10" s="278">
        <f>IF(ISNUMBER(AS10),AW9,0)</f>
        <v>85.106382978723403</v>
      </c>
      <c r="AU10" s="278"/>
      <c r="AV10" s="278">
        <f t="shared" si="2"/>
        <v>16.170212765957448</v>
      </c>
      <c r="AW10" s="278">
        <f t="shared" si="6"/>
        <v>85.106382978723403</v>
      </c>
      <c r="AX10" s="232">
        <f>IF(ISNUMBER(AS11),SUM(AU10:AV10),SUM(AU10:AW10))</f>
        <v>16.170212765957448</v>
      </c>
      <c r="AY10" s="279">
        <f t="shared" si="0"/>
        <v>5.5013210766133191E-2</v>
      </c>
      <c r="AZ10" s="232">
        <f t="shared" si="4"/>
        <v>4.1051704892104475E-2</v>
      </c>
      <c r="BA10" s="232"/>
    </row>
    <row r="11" spans="1:54" ht="33" customHeight="1" x14ac:dyDescent="0.2">
      <c r="A11" s="246"/>
      <c r="B11" s="576"/>
      <c r="C11" s="298" t="s">
        <v>533</v>
      </c>
      <c r="D11" s="299">
        <v>0.4</v>
      </c>
      <c r="E11" s="235"/>
      <c r="F11" s="312" t="s">
        <v>241</v>
      </c>
      <c r="G11" s="503">
        <v>1.4426961458207845</v>
      </c>
      <c r="H11" s="238"/>
      <c r="I11" s="312" t="s">
        <v>230</v>
      </c>
      <c r="J11" s="379">
        <v>0.81</v>
      </c>
      <c r="K11" s="315"/>
      <c r="L11" s="312" t="s">
        <v>405</v>
      </c>
      <c r="M11" s="313"/>
      <c r="N11" s="244"/>
      <c r="O11" s="246"/>
      <c r="P11" s="246"/>
      <c r="Q11" s="577"/>
      <c r="R11" s="253" t="s">
        <v>566</v>
      </c>
      <c r="S11" s="468" t="s">
        <v>120</v>
      </c>
      <c r="T11" s="582">
        <f>(1/S37)*(1/M18)*T5*AB15+(1/R37)*U37*G10</f>
        <v>4.2507970889413313E-2</v>
      </c>
      <c r="U11" s="582">
        <f>(1/S37)*(1/M18)*T5+1/R37*(G10*S5)</f>
        <v>6.1856978583357614E-3</v>
      </c>
      <c r="V11" s="663">
        <f>($G$10*$U$37)/T11</f>
        <v>2577.7518358866164</v>
      </c>
      <c r="W11" s="664"/>
      <c r="X11" s="238"/>
      <c r="Y11" s="246"/>
      <c r="Z11" s="247"/>
      <c r="AA11" s="238"/>
      <c r="AB11" s="244"/>
      <c r="AC11" s="246"/>
      <c r="AD11" s="246"/>
      <c r="AE11" s="246"/>
      <c r="AF11" s="246"/>
      <c r="AG11" s="246"/>
      <c r="AH11" s="246"/>
      <c r="AI11" s="246"/>
      <c r="AJ11" s="246"/>
      <c r="AK11" s="246"/>
      <c r="AL11" s="246"/>
      <c r="AM11" s="246"/>
      <c r="AN11" s="246"/>
      <c r="AO11" s="246"/>
      <c r="AP11" s="246"/>
      <c r="AQ11" s="246"/>
      <c r="AS11" s="232">
        <f t="shared" si="1"/>
        <v>7</v>
      </c>
      <c r="AT11" s="278">
        <f>IF(ISNUMBER(AS11),AW10,0)</f>
        <v>85.106382978723403</v>
      </c>
      <c r="AU11" s="278"/>
      <c r="AV11" s="278">
        <f t="shared" si="2"/>
        <v>16.170212765957448</v>
      </c>
      <c r="AW11" s="278">
        <f t="shared" si="6"/>
        <v>85.106382978723403</v>
      </c>
      <c r="AX11" s="232">
        <f>IF(ISNUMBER(AS12),SUM(AU11:AV11),SUM(AU11:AW11))</f>
        <v>16.170212765957448</v>
      </c>
      <c r="AY11" s="279">
        <f t="shared" si="0"/>
        <v>5.5013210766133191E-2</v>
      </c>
      <c r="AZ11" s="232">
        <f t="shared" si="4"/>
        <v>3.9096861802004251E-2</v>
      </c>
      <c r="BA11" s="232"/>
    </row>
    <row r="12" spans="1:54" ht="22.75" customHeight="1" thickBot="1" x14ac:dyDescent="0.25">
      <c r="A12" s="246"/>
      <c r="B12" s="247"/>
      <c r="C12" s="241"/>
      <c r="D12" s="240"/>
      <c r="E12" s="234"/>
      <c r="F12" s="390"/>
      <c r="G12" s="391"/>
      <c r="H12" s="241"/>
      <c r="I12" s="241"/>
      <c r="J12" s="380"/>
      <c r="K12" s="238"/>
      <c r="L12" s="312" t="s">
        <v>399</v>
      </c>
      <c r="M12" s="313"/>
      <c r="N12" s="244"/>
      <c r="O12" s="238"/>
      <c r="P12" s="246"/>
      <c r="Q12" s="293"/>
      <c r="R12" s="253" t="s">
        <v>396</v>
      </c>
      <c r="S12" s="468">
        <f>T6*M12</f>
        <v>0</v>
      </c>
      <c r="T12" s="582" t="e">
        <f>M13*S12/(M7/M10)</f>
        <v>#DIV/0!</v>
      </c>
      <c r="U12" s="582"/>
      <c r="V12" s="594" t="s">
        <v>120</v>
      </c>
      <c r="W12" s="595"/>
      <c r="X12" s="238"/>
      <c r="Y12" s="246"/>
      <c r="Z12" s="363" t="s">
        <v>286</v>
      </c>
      <c r="AA12" s="358"/>
      <c r="AB12" s="364"/>
      <c r="AC12" s="246"/>
      <c r="AD12" s="246"/>
      <c r="AE12" s="246"/>
      <c r="AF12" s="246"/>
      <c r="AG12" s="246"/>
      <c r="AH12" s="246"/>
      <c r="AI12" s="246"/>
      <c r="AJ12" s="246"/>
      <c r="AK12" s="246"/>
      <c r="AL12" s="246"/>
      <c r="AM12" s="246"/>
      <c r="AN12" s="246"/>
      <c r="AO12" s="246"/>
      <c r="AP12" s="246"/>
      <c r="AQ12" s="246"/>
      <c r="AS12" s="232">
        <f t="shared" si="1"/>
        <v>8</v>
      </c>
      <c r="AT12" s="278">
        <f>IF(ISNUMBER(AS12),AW11,0)</f>
        <v>85.106382978723403</v>
      </c>
      <c r="AU12" s="278"/>
      <c r="AV12" s="278">
        <f t="shared" si="2"/>
        <v>16.170212765957448</v>
      </c>
      <c r="AW12" s="278">
        <f t="shared" si="6"/>
        <v>85.106382978723403</v>
      </c>
      <c r="AX12" s="232">
        <f>IF(ISNUMBER(AS13),SUM(AU12:AV12),SUM(AU12:AW12))</f>
        <v>16.170212765957448</v>
      </c>
      <c r="AY12" s="279">
        <f t="shared" si="0"/>
        <v>5.5013210766133191E-2</v>
      </c>
      <c r="AZ12" s="232">
        <f t="shared" si="4"/>
        <v>3.7235106478099293E-2</v>
      </c>
      <c r="BA12" s="232"/>
    </row>
    <row r="13" spans="1:54" ht="30.75" customHeight="1" x14ac:dyDescent="0.2">
      <c r="A13" s="246"/>
      <c r="B13" s="247"/>
      <c r="C13" s="241"/>
      <c r="D13" s="240"/>
      <c r="E13" s="234"/>
      <c r="F13" s="461" t="s">
        <v>217</v>
      </c>
      <c r="G13" s="507">
        <v>2</v>
      </c>
      <c r="H13" s="238"/>
      <c r="I13" s="241"/>
      <c r="J13" s="380"/>
      <c r="K13" s="238"/>
      <c r="L13" s="312" t="s">
        <v>398</v>
      </c>
      <c r="M13" s="313"/>
      <c r="N13" s="244"/>
      <c r="O13" s="238"/>
      <c r="P13" s="246"/>
      <c r="Q13" s="596" t="s">
        <v>122</v>
      </c>
      <c r="R13" s="457" t="s">
        <v>442</v>
      </c>
      <c r="S13" s="457" t="s">
        <v>563</v>
      </c>
      <c r="T13" s="569" t="s">
        <v>564</v>
      </c>
      <c r="U13" s="569"/>
      <c r="V13" s="569" t="s">
        <v>562</v>
      </c>
      <c r="W13" s="570"/>
      <c r="X13" s="238"/>
      <c r="Y13" s="246"/>
      <c r="Z13" s="360" t="s">
        <v>570</v>
      </c>
      <c r="AA13" s="361"/>
      <c r="AB13" s="365">
        <f>IF($AB$10="Yes",MAX(AB6,$AB$9),AB6)/AB6</f>
        <v>1</v>
      </c>
      <c r="AC13" s="246"/>
      <c r="AD13" s="246"/>
      <c r="AE13" s="246"/>
      <c r="AF13" s="246"/>
      <c r="AG13" s="246"/>
      <c r="AH13" s="246"/>
      <c r="AI13" s="246"/>
      <c r="AJ13" s="246"/>
      <c r="AK13" s="246"/>
      <c r="AL13" s="246"/>
      <c r="AM13" s="246"/>
      <c r="AN13" s="246"/>
      <c r="AO13" s="246"/>
      <c r="AP13" s="246"/>
      <c r="AQ13" s="246"/>
      <c r="AS13" s="232">
        <f t="shared" si="1"/>
        <v>9</v>
      </c>
      <c r="AT13" s="278">
        <f>IF(ISNUMBER(AS13),AW12,0)</f>
        <v>85.106382978723403</v>
      </c>
      <c r="AU13" s="278"/>
      <c r="AV13" s="278">
        <f t="shared" si="2"/>
        <v>16.170212765957448</v>
      </c>
      <c r="AW13" s="278">
        <f t="shared" si="6"/>
        <v>85.106382978723403</v>
      </c>
      <c r="AX13" s="232">
        <f t="shared" si="3"/>
        <v>16.170212765957448</v>
      </c>
      <c r="AY13" s="279">
        <f t="shared" si="0"/>
        <v>5.5013210766133191E-2</v>
      </c>
      <c r="AZ13" s="232">
        <f t="shared" si="4"/>
        <v>3.5462006169618372E-2</v>
      </c>
      <c r="BA13" s="232"/>
    </row>
    <row r="14" spans="1:54" ht="21" customHeight="1" thickBot="1" x14ac:dyDescent="0.25">
      <c r="A14" s="246"/>
      <c r="B14" s="597" t="s">
        <v>366</v>
      </c>
      <c r="C14" s="598" t="s">
        <v>529</v>
      </c>
      <c r="D14" s="600">
        <v>20</v>
      </c>
      <c r="E14" s="235"/>
      <c r="F14" s="598" t="s">
        <v>530</v>
      </c>
      <c r="G14" s="600">
        <v>1.7608179999999999E-3</v>
      </c>
      <c r="H14" s="238"/>
      <c r="I14" s="300" t="s">
        <v>539</v>
      </c>
      <c r="J14" s="382">
        <v>1</v>
      </c>
      <c r="K14" s="316"/>
      <c r="L14" s="312" t="s">
        <v>400</v>
      </c>
      <c r="M14" s="313"/>
      <c r="N14" s="244"/>
      <c r="O14" s="238"/>
      <c r="P14" s="246"/>
      <c r="Q14" s="577"/>
      <c r="R14" s="462">
        <f>BA5</f>
        <v>0.77913213668565851</v>
      </c>
      <c r="S14" s="462">
        <f>AZ4</f>
        <v>0.36913541566724817</v>
      </c>
      <c r="T14" s="602">
        <f>R14+S14</f>
        <v>1.1482675523529067</v>
      </c>
      <c r="U14" s="602"/>
      <c r="V14" s="582">
        <f>T14/(Leon!Q37/Leon!D16)</f>
        <v>4.3606608568153987E-3</v>
      </c>
      <c r="W14" s="603"/>
      <c r="X14" s="238"/>
      <c r="Y14" s="387"/>
      <c r="Z14" s="360" t="s">
        <v>560</v>
      </c>
      <c r="AA14" s="361"/>
      <c r="AB14" s="365">
        <f>IF($AB$10="Yes",MAX(AB7,$AB$9),AB7)/AB7</f>
        <v>1</v>
      </c>
      <c r="AC14" s="246"/>
      <c r="AD14" s="246"/>
      <c r="AE14" s="246"/>
      <c r="AF14" s="246"/>
      <c r="AG14" s="246"/>
      <c r="AH14" s="246"/>
      <c r="AI14" s="246"/>
      <c r="AJ14" s="246"/>
      <c r="AK14" s="246"/>
      <c r="AL14" s="246"/>
      <c r="AM14" s="246"/>
      <c r="AN14" s="246"/>
      <c r="AO14" s="246"/>
      <c r="AP14" s="246"/>
      <c r="AQ14" s="246"/>
      <c r="AS14" s="232">
        <f t="shared" si="1"/>
        <v>10</v>
      </c>
      <c r="AT14" s="278">
        <f t="shared" si="5"/>
        <v>85.106382978723403</v>
      </c>
      <c r="AU14" s="278"/>
      <c r="AV14" s="278">
        <f t="shared" si="2"/>
        <v>16.170212765957448</v>
      </c>
      <c r="AW14" s="278">
        <f t="shared" si="6"/>
        <v>85.106382978723403</v>
      </c>
      <c r="AX14" s="232">
        <f t="shared" si="3"/>
        <v>16.170212765957448</v>
      </c>
      <c r="AY14" s="279">
        <f t="shared" si="0"/>
        <v>5.5013210766133191E-2</v>
      </c>
      <c r="AZ14" s="232">
        <f t="shared" si="4"/>
        <v>3.3773339209160355E-2</v>
      </c>
      <c r="BA14" s="232"/>
    </row>
    <row r="15" spans="1:54" ht="21" customHeight="1" thickBot="1" x14ac:dyDescent="0.25">
      <c r="A15" s="246"/>
      <c r="B15" s="597"/>
      <c r="C15" s="599"/>
      <c r="D15" s="601"/>
      <c r="E15" s="235"/>
      <c r="F15" s="599"/>
      <c r="G15" s="601"/>
      <c r="H15" s="238"/>
      <c r="I15" s="300" t="s">
        <v>538</v>
      </c>
      <c r="J15" s="383">
        <v>0.75</v>
      </c>
      <c r="K15" s="316"/>
      <c r="L15" s="322" t="s">
        <v>403</v>
      </c>
      <c r="M15" s="337"/>
      <c r="N15" s="244"/>
      <c r="O15" s="238"/>
      <c r="P15" s="246"/>
      <c r="Q15" s="463" t="s">
        <v>129</v>
      </c>
      <c r="R15" s="415"/>
      <c r="S15" s="465" t="s">
        <v>561</v>
      </c>
      <c r="T15" s="604" t="s">
        <v>560</v>
      </c>
      <c r="U15" s="605"/>
      <c r="V15" s="465" t="s">
        <v>566</v>
      </c>
      <c r="W15" s="430" t="s">
        <v>576</v>
      </c>
      <c r="X15" s="238"/>
      <c r="Y15" s="387"/>
      <c r="Z15" s="366" t="s">
        <v>566</v>
      </c>
      <c r="AA15" s="367"/>
      <c r="AB15" s="368">
        <f>IF($AB$10="Yes",MAX(AB8,$AB$9),AB8)/AB8</f>
        <v>1</v>
      </c>
      <c r="AC15" s="246"/>
      <c r="AD15" s="246"/>
      <c r="AE15" s="246"/>
      <c r="AF15" s="246"/>
      <c r="AG15" s="246"/>
      <c r="AH15" s="246"/>
      <c r="AI15" s="246"/>
      <c r="AJ15" s="246"/>
      <c r="AK15" s="246"/>
      <c r="AL15" s="246"/>
      <c r="AM15" s="246"/>
      <c r="AN15" s="246"/>
      <c r="AO15" s="246"/>
      <c r="AP15" s="246"/>
      <c r="AQ15" s="246"/>
      <c r="AS15" s="232">
        <f t="shared" si="1"/>
        <v>11</v>
      </c>
      <c r="AT15" s="278">
        <f t="shared" si="5"/>
        <v>85.106382978723403</v>
      </c>
      <c r="AU15" s="278"/>
      <c r="AV15" s="278">
        <f t="shared" si="2"/>
        <v>16.170212765957448</v>
      </c>
      <c r="AW15" s="278">
        <f t="shared" si="6"/>
        <v>85.106382978723403</v>
      </c>
      <c r="AX15" s="232">
        <f>IF(ISNUMBER(AS16),SUM(AU15:AV15),SUM(AU15:AW15))</f>
        <v>16.170212765957448</v>
      </c>
      <c r="AY15" s="279">
        <f t="shared" si="0"/>
        <v>5.5013210766133191E-2</v>
      </c>
      <c r="AZ15" s="232">
        <f t="shared" si="4"/>
        <v>3.2165084961105102E-2</v>
      </c>
      <c r="BA15" s="232"/>
    </row>
    <row r="16" spans="1:54" ht="21" customHeight="1" x14ac:dyDescent="0.2">
      <c r="A16" s="246"/>
      <c r="B16" s="597"/>
      <c r="C16" s="606" t="s">
        <v>547</v>
      </c>
      <c r="D16" s="608">
        <v>0.80800000000000005</v>
      </c>
      <c r="E16" s="235"/>
      <c r="F16" s="606" t="s">
        <v>345</v>
      </c>
      <c r="G16" s="610">
        <v>20</v>
      </c>
      <c r="H16" s="238"/>
      <c r="I16" s="296" t="s">
        <v>556</v>
      </c>
      <c r="J16" s="384">
        <v>0.51</v>
      </c>
      <c r="K16" s="317"/>
      <c r="L16" s="238"/>
      <c r="M16" s="238"/>
      <c r="N16" s="244"/>
      <c r="O16" s="238"/>
      <c r="P16" s="246"/>
      <c r="Q16" s="459"/>
      <c r="R16" s="413" t="s">
        <v>126</v>
      </c>
      <c r="S16" s="490">
        <f>$T9/$T$9</f>
        <v>1</v>
      </c>
      <c r="T16" s="612">
        <f>$T9/$T$10</f>
        <v>1.4539807086619627</v>
      </c>
      <c r="U16" s="613"/>
      <c r="V16" s="490">
        <f>$T9/$T$11</f>
        <v>0.63412134218636662</v>
      </c>
      <c r="W16" s="491">
        <f>$T9/$V$14</f>
        <v>6.1814510321032463</v>
      </c>
      <c r="X16" s="238"/>
      <c r="Y16" s="387"/>
      <c r="Z16" s="246"/>
      <c r="AA16" s="246"/>
      <c r="AB16" s="246"/>
      <c r="AC16" s="246"/>
      <c r="AD16" s="246"/>
      <c r="AE16" s="246"/>
      <c r="AF16" s="246"/>
      <c r="AG16" s="246"/>
      <c r="AH16" s="246"/>
      <c r="AI16" s="246"/>
      <c r="AJ16" s="246"/>
      <c r="AK16" s="246"/>
      <c r="AL16" s="246"/>
      <c r="AM16" s="246"/>
      <c r="AN16" s="246"/>
      <c r="AO16" s="246"/>
      <c r="AP16" s="246"/>
      <c r="AQ16" s="246"/>
      <c r="AS16" s="232">
        <f t="shared" si="1"/>
        <v>12</v>
      </c>
      <c r="AT16" s="278">
        <f t="shared" si="5"/>
        <v>85.106382978723403</v>
      </c>
      <c r="AU16" s="278"/>
      <c r="AV16" s="278">
        <f t="shared" si="2"/>
        <v>16.170212765957448</v>
      </c>
      <c r="AW16" s="278">
        <f t="shared" si="6"/>
        <v>85.106382978723403</v>
      </c>
      <c r="AX16" s="232">
        <f t="shared" ref="AX16:AX81" si="7">IF(ISNUMBER(AS17),SUM(AU16:AV16),SUM(AU16:AW16))</f>
        <v>16.170212765957448</v>
      </c>
      <c r="AY16" s="279">
        <f t="shared" si="0"/>
        <v>5.5013210766133191E-2</v>
      </c>
      <c r="AZ16" s="232">
        <f t="shared" si="4"/>
        <v>3.0633414248671526E-2</v>
      </c>
      <c r="BA16" s="232"/>
    </row>
    <row r="17" spans="1:54" ht="31.75" customHeight="1" x14ac:dyDescent="0.2">
      <c r="A17" s="246"/>
      <c r="B17" s="597"/>
      <c r="C17" s="607"/>
      <c r="D17" s="609"/>
      <c r="E17" s="235"/>
      <c r="F17" s="599"/>
      <c r="G17" s="611"/>
      <c r="H17" s="238"/>
      <c r="I17" s="297" t="s">
        <v>535</v>
      </c>
      <c r="J17" s="385">
        <v>0.5292</v>
      </c>
      <c r="K17" s="317"/>
      <c r="L17" s="614" t="s">
        <v>566</v>
      </c>
      <c r="M17" s="614"/>
      <c r="N17" s="244"/>
      <c r="O17" s="238"/>
      <c r="P17" s="246"/>
      <c r="Q17" s="459"/>
      <c r="R17" s="413" t="s">
        <v>127</v>
      </c>
      <c r="S17" s="490">
        <f>$T10/$T$9</f>
        <v>0.68776703435099762</v>
      </c>
      <c r="T17" s="612">
        <f>$T10/$T$10</f>
        <v>1</v>
      </c>
      <c r="U17" s="613"/>
      <c r="V17" s="490">
        <f>$T10/$T$11</f>
        <v>0.43612775493419159</v>
      </c>
      <c r="W17" s="491">
        <f>$T10/$V$14</f>
        <v>4.2513982443355633</v>
      </c>
      <c r="X17" s="238"/>
      <c r="Y17" s="387"/>
      <c r="Z17" s="246"/>
      <c r="AA17" s="246"/>
      <c r="AB17" s="246"/>
      <c r="AC17" s="246"/>
      <c r="AD17" s="246"/>
      <c r="AE17" s="246"/>
      <c r="AF17" s="246"/>
      <c r="AG17" s="246"/>
      <c r="AH17" s="246"/>
      <c r="AI17" s="246"/>
      <c r="AJ17" s="246"/>
      <c r="AK17" s="246"/>
      <c r="AL17" s="246"/>
      <c r="AM17" s="246"/>
      <c r="AN17" s="246"/>
      <c r="AO17" s="246"/>
      <c r="AP17" s="246"/>
      <c r="AQ17" s="246"/>
      <c r="AS17" s="232">
        <f>IF(AS16&lt;$D$14,AS16+1,"")</f>
        <v>13</v>
      </c>
      <c r="AT17" s="278">
        <f>IF(ISNUMBER(AS17),AW16,0)</f>
        <v>85.106382978723403</v>
      </c>
      <c r="AU17" s="278"/>
      <c r="AV17" s="278">
        <f t="shared" si="2"/>
        <v>16.170212765957448</v>
      </c>
      <c r="AW17" s="278">
        <f t="shared" si="6"/>
        <v>85.106382978723403</v>
      </c>
      <c r="AX17" s="232">
        <f>IF(ISNUMBER(AS18),SUM(AU17:AV17),SUM(AU17:AW17))</f>
        <v>16.170212765957448</v>
      </c>
      <c r="AY17" s="279">
        <f t="shared" si="0"/>
        <v>5.5013210766133191E-2</v>
      </c>
      <c r="AZ17" s="232">
        <f t="shared" si="4"/>
        <v>2.9174680236830019E-2</v>
      </c>
      <c r="BA17" s="232"/>
    </row>
    <row r="18" spans="1:54" ht="30.75" customHeight="1" x14ac:dyDescent="0.2">
      <c r="A18" s="246"/>
      <c r="B18" s="597"/>
      <c r="C18" s="238"/>
      <c r="D18" s="238"/>
      <c r="E18" s="235"/>
      <c r="F18" s="310" t="s">
        <v>372</v>
      </c>
      <c r="G18" s="308">
        <v>0.3</v>
      </c>
      <c r="H18" s="238"/>
      <c r="I18" s="307" t="s">
        <v>229</v>
      </c>
      <c r="J18" s="306">
        <v>1</v>
      </c>
      <c r="K18" s="316"/>
      <c r="L18" s="312" t="s">
        <v>81</v>
      </c>
      <c r="M18" s="137">
        <v>4</v>
      </c>
      <c r="N18" s="244"/>
      <c r="O18" s="238"/>
      <c r="P18" s="238"/>
      <c r="Q18" s="459"/>
      <c r="R18" s="413" t="s">
        <v>128</v>
      </c>
      <c r="S18" s="490">
        <f>$T11/$T$9</f>
        <v>1.5769852447358608</v>
      </c>
      <c r="T18" s="612">
        <f>$T11/$T$10</f>
        <v>2.2929061236905057</v>
      </c>
      <c r="U18" s="613"/>
      <c r="V18" s="490">
        <f>$T11/$T$11</f>
        <v>1</v>
      </c>
      <c r="W18" s="491">
        <f>$T11/$V$14</f>
        <v>9.7480570686840782</v>
      </c>
      <c r="X18" s="238"/>
      <c r="Y18" s="246"/>
      <c r="Z18" s="246"/>
      <c r="AA18" s="246"/>
      <c r="AB18" s="246"/>
      <c r="AC18" s="246"/>
      <c r="AD18" s="246"/>
      <c r="AE18" s="246"/>
      <c r="AF18" s="246"/>
      <c r="AG18" s="246"/>
      <c r="AH18" s="246"/>
      <c r="AI18" s="246"/>
      <c r="AJ18" s="246"/>
      <c r="AK18" s="246"/>
      <c r="AL18" s="246"/>
      <c r="AM18" s="246"/>
      <c r="AN18" s="246"/>
      <c r="AO18" s="246"/>
      <c r="AP18" s="246"/>
      <c r="AQ18" s="246"/>
      <c r="AS18" s="232">
        <f>IF(AS17&lt;$D$14,AS17+1,"")</f>
        <v>14</v>
      </c>
      <c r="AT18" s="278">
        <f>IF(ISNUMBER(AS18),AW17,0)</f>
        <v>85.106382978723403</v>
      </c>
      <c r="AU18" s="278"/>
      <c r="AV18" s="278">
        <f t="shared" si="2"/>
        <v>16.170212765957448</v>
      </c>
      <c r="AW18" s="278">
        <f t="shared" si="6"/>
        <v>85.106382978723403</v>
      </c>
      <c r="AX18" s="232">
        <f>IF(ISNUMBER(AS19),SUM(AU18:AV18),SUM(AU18:AW18))</f>
        <v>16.170212765957448</v>
      </c>
      <c r="AY18" s="279">
        <f t="shared" si="0"/>
        <v>5.5013210766133191E-2</v>
      </c>
      <c r="AZ18" s="232">
        <f t="shared" si="4"/>
        <v>2.7785409749361931E-2</v>
      </c>
      <c r="BA18" s="232"/>
    </row>
    <row r="19" spans="1:54" ht="21" customHeight="1" thickBot="1" x14ac:dyDescent="0.25">
      <c r="A19" s="246"/>
      <c r="B19" s="302"/>
      <c r="C19" s="239"/>
      <c r="D19" s="239"/>
      <c r="E19" s="239"/>
      <c r="F19" s="303"/>
      <c r="G19" s="304"/>
      <c r="H19" s="239"/>
      <c r="I19" s="239"/>
      <c r="J19" s="239"/>
      <c r="K19" s="239"/>
      <c r="L19" s="319"/>
      <c r="M19" s="239"/>
      <c r="N19" s="305"/>
      <c r="O19" s="238"/>
      <c r="P19" s="246"/>
      <c r="Q19" s="469"/>
      <c r="R19" s="414" t="s">
        <v>130</v>
      </c>
      <c r="S19" s="492">
        <f>$V14/$T$9</f>
        <v>0.16177431396067354</v>
      </c>
      <c r="T19" s="615">
        <f>$V14/$T$10</f>
        <v>0.23521673165584295</v>
      </c>
      <c r="U19" s="616"/>
      <c r="V19" s="492">
        <f>$V14/$T$11</f>
        <v>0.10258454510002098</v>
      </c>
      <c r="W19" s="493">
        <f>$V14/$V$14</f>
        <v>1</v>
      </c>
      <c r="X19" s="238"/>
      <c r="Y19" s="246"/>
      <c r="Z19" s="246"/>
      <c r="AA19" s="246"/>
      <c r="AB19" s="246"/>
      <c r="AC19" s="246"/>
      <c r="AD19" s="246"/>
      <c r="AE19" s="246"/>
      <c r="AF19" s="246"/>
      <c r="AG19" s="246"/>
      <c r="AH19" s="246"/>
      <c r="AI19" s="246"/>
      <c r="AJ19" s="246"/>
      <c r="AK19" s="246"/>
      <c r="AL19" s="246"/>
      <c r="AM19" s="246"/>
      <c r="AN19" s="246"/>
      <c r="AO19" s="246"/>
      <c r="AP19" s="246"/>
      <c r="AQ19" s="246"/>
      <c r="AS19" s="232">
        <f>IF(AS18&lt;$D$14,AS18+1,"")</f>
        <v>15</v>
      </c>
      <c r="AT19" s="278">
        <f>IF(ISNUMBER(AS19),AW18,0)</f>
        <v>85.106382978723403</v>
      </c>
      <c r="AU19" s="278"/>
      <c r="AV19" s="278">
        <f t="shared" si="2"/>
        <v>16.170212765957448</v>
      </c>
      <c r="AW19" s="278">
        <f t="shared" si="6"/>
        <v>85.106382978723403</v>
      </c>
      <c r="AX19" s="232">
        <f t="shared" si="7"/>
        <v>16.170212765957448</v>
      </c>
      <c r="AY19" s="279">
        <f t="shared" si="0"/>
        <v>5.5013210766133191E-2</v>
      </c>
      <c r="AZ19" s="232">
        <f t="shared" si="4"/>
        <v>2.6462294999392306E-2</v>
      </c>
      <c r="BA19" s="232"/>
    </row>
    <row r="20" spans="1:54" ht="9.75" customHeight="1" thickBot="1" x14ac:dyDescent="0.25">
      <c r="A20" s="246"/>
      <c r="B20" s="246"/>
      <c r="C20" s="246"/>
      <c r="D20" s="246"/>
      <c r="E20" s="246"/>
      <c r="F20" s="246"/>
      <c r="G20" s="246"/>
      <c r="H20" s="246"/>
      <c r="I20" s="246"/>
      <c r="J20" s="246"/>
      <c r="K20" s="246"/>
      <c r="L20" s="246"/>
      <c r="M20" s="246"/>
      <c r="N20" s="246"/>
      <c r="O20" s="246"/>
      <c r="P20" s="246"/>
      <c r="Q20" s="238"/>
      <c r="R20" s="238"/>
      <c r="S20" s="238"/>
      <c r="T20" s="238"/>
      <c r="U20" s="238"/>
      <c r="V20" s="238"/>
      <c r="W20" s="238"/>
      <c r="Y20" s="246"/>
      <c r="Z20" s="246"/>
      <c r="AA20" s="246"/>
      <c r="AB20" s="246"/>
      <c r="AC20" s="246"/>
      <c r="AD20" s="246"/>
      <c r="AE20" s="246"/>
      <c r="AF20" s="246"/>
      <c r="AG20" s="246"/>
      <c r="AH20" s="246"/>
      <c r="AI20" s="246"/>
      <c r="AJ20" s="246"/>
      <c r="AK20" s="246"/>
      <c r="AL20" s="246"/>
      <c r="AM20" s="246"/>
      <c r="AN20" s="246"/>
      <c r="AO20" s="246"/>
      <c r="AP20" s="246"/>
      <c r="AQ20" s="246"/>
      <c r="AS20" s="232">
        <f t="shared" si="1"/>
        <v>16</v>
      </c>
      <c r="AT20" s="278">
        <f t="shared" si="5"/>
        <v>85.106382978723403</v>
      </c>
      <c r="AU20" s="278"/>
      <c r="AV20" s="278">
        <f t="shared" si="2"/>
        <v>16.170212765957448</v>
      </c>
      <c r="AW20" s="278">
        <f t="shared" si="6"/>
        <v>85.106382978723403</v>
      </c>
      <c r="AX20" s="232">
        <f>IF(ISNUMBER(AS21),SUM(AU20:AV20),SUM(AU20:AW20))</f>
        <v>16.170212765957448</v>
      </c>
      <c r="AY20" s="279">
        <f t="shared" si="0"/>
        <v>5.5013210766133191E-2</v>
      </c>
      <c r="AZ20" s="232">
        <f t="shared" si="4"/>
        <v>2.520218571370696E-2</v>
      </c>
      <c r="BA20" s="232"/>
    </row>
    <row r="21" spans="1:54" ht="10.5" customHeight="1" x14ac:dyDescent="0.2">
      <c r="A21" s="246"/>
      <c r="B21" s="246"/>
      <c r="C21" s="246"/>
      <c r="D21" s="246"/>
      <c r="E21" s="238"/>
      <c r="F21" s="617" t="s">
        <v>562</v>
      </c>
      <c r="G21" s="257" t="s">
        <v>561</v>
      </c>
      <c r="H21" s="258"/>
      <c r="I21" s="487">
        <f>T9</f>
        <v>2.6955211554013772E-2</v>
      </c>
      <c r="J21" s="259"/>
      <c r="K21" s="260"/>
      <c r="L21" s="263"/>
      <c r="M21" s="263"/>
      <c r="N21" s="263"/>
      <c r="O21" s="263"/>
      <c r="P21" s="238"/>
      <c r="Q21" s="557" t="s">
        <v>285</v>
      </c>
      <c r="R21" s="621" t="s">
        <v>243</v>
      </c>
      <c r="S21" s="622"/>
      <c r="T21" s="355"/>
      <c r="U21" s="625" t="s">
        <v>281</v>
      </c>
      <c r="V21" s="625"/>
      <c r="W21" s="626"/>
      <c r="Y21" s="246"/>
      <c r="Z21" s="246"/>
      <c r="AA21" s="246"/>
      <c r="AB21" s="246"/>
      <c r="AC21" s="246"/>
      <c r="AD21" s="246"/>
      <c r="AE21" s="246"/>
      <c r="AF21" s="246"/>
      <c r="AG21" s="246"/>
      <c r="AH21" s="246"/>
      <c r="AI21" s="246"/>
      <c r="AJ21" s="246"/>
      <c r="AK21" s="246"/>
      <c r="AL21" s="246"/>
      <c r="AM21" s="246"/>
      <c r="AN21" s="246"/>
      <c r="AO21" s="246"/>
      <c r="AP21" s="246"/>
      <c r="AQ21" s="246"/>
      <c r="AS21" s="232">
        <f>IF(AS20&lt;$D$14,AS20+1,"")</f>
        <v>17</v>
      </c>
      <c r="AT21" s="278">
        <f>IF(ISNUMBER(AS21),AW20,0)</f>
        <v>85.106382978723403</v>
      </c>
      <c r="AU21" s="278"/>
      <c r="AV21" s="278">
        <f t="shared" si="2"/>
        <v>16.170212765957448</v>
      </c>
      <c r="AW21" s="278">
        <f t="shared" si="6"/>
        <v>85.106382978723403</v>
      </c>
      <c r="AX21" s="232">
        <f t="shared" si="7"/>
        <v>16.170212765957448</v>
      </c>
      <c r="AY21" s="279">
        <f t="shared" si="0"/>
        <v>5.5013210766133191E-2</v>
      </c>
      <c r="AZ21" s="232">
        <f t="shared" si="4"/>
        <v>2.4002081632101865E-2</v>
      </c>
      <c r="BA21" s="232"/>
    </row>
    <row r="22" spans="1:54" ht="12" customHeight="1" thickBot="1" x14ac:dyDescent="0.25">
      <c r="A22" s="246"/>
      <c r="B22" s="246"/>
      <c r="C22" s="246"/>
      <c r="D22" s="246"/>
      <c r="E22" s="238"/>
      <c r="F22" s="618"/>
      <c r="G22" s="261" t="s">
        <v>560</v>
      </c>
      <c r="H22" s="262"/>
      <c r="I22" s="488">
        <f>T10</f>
        <v>1.8538905910807799E-2</v>
      </c>
      <c r="J22" s="263"/>
      <c r="K22" s="264"/>
      <c r="L22" s="263"/>
      <c r="M22" s="263"/>
      <c r="N22" s="263"/>
      <c r="O22" s="263"/>
      <c r="P22" s="238"/>
      <c r="Q22" s="619"/>
      <c r="R22" s="623"/>
      <c r="S22" s="624"/>
      <c r="T22" s="356"/>
      <c r="U22" s="627"/>
      <c r="V22" s="627"/>
      <c r="W22" s="628"/>
      <c r="Y22" s="246"/>
      <c r="Z22" s="246"/>
      <c r="AA22" s="246"/>
      <c r="AB22" s="246"/>
      <c r="AC22" s="246"/>
      <c r="AD22" s="246"/>
      <c r="AE22" s="246"/>
      <c r="AF22" s="246"/>
      <c r="AG22" s="246"/>
      <c r="AH22" s="246"/>
      <c r="AI22" s="246"/>
      <c r="AJ22" s="246"/>
      <c r="AK22" s="246"/>
      <c r="AL22" s="246"/>
      <c r="AM22" s="246"/>
      <c r="AN22" s="246"/>
      <c r="AO22" s="246"/>
      <c r="AP22" s="246"/>
      <c r="AQ22" s="246"/>
      <c r="AS22" s="232">
        <f t="shared" si="1"/>
        <v>18</v>
      </c>
      <c r="AT22" s="278">
        <f t="shared" si="5"/>
        <v>85.106382978723403</v>
      </c>
      <c r="AU22" s="278"/>
      <c r="AV22" s="278">
        <f t="shared" si="2"/>
        <v>16.170212765957448</v>
      </c>
      <c r="AW22" s="278">
        <f t="shared" si="6"/>
        <v>85.106382978723403</v>
      </c>
      <c r="AX22" s="232">
        <f t="shared" si="7"/>
        <v>16.170212765957448</v>
      </c>
      <c r="AY22" s="279">
        <f t="shared" si="0"/>
        <v>5.5013210766133191E-2</v>
      </c>
      <c r="AZ22" s="232">
        <f t="shared" si="4"/>
        <v>2.2859125363906538E-2</v>
      </c>
      <c r="BA22" s="232"/>
    </row>
    <row r="23" spans="1:54" ht="10.75" customHeight="1" x14ac:dyDescent="0.2">
      <c r="A23" s="246"/>
      <c r="B23" s="565" t="s">
        <v>410</v>
      </c>
      <c r="C23" s="637"/>
      <c r="D23" s="637"/>
      <c r="E23" s="637"/>
      <c r="F23" s="618"/>
      <c r="G23" s="261" t="s">
        <v>390</v>
      </c>
      <c r="H23" s="262"/>
      <c r="I23" s="488" t="e">
        <f>T12</f>
        <v>#DIV/0!</v>
      </c>
      <c r="J23" s="263"/>
      <c r="K23" s="264"/>
      <c r="L23" s="263"/>
      <c r="M23" s="263"/>
      <c r="N23" s="263"/>
      <c r="O23" s="263"/>
      <c r="P23" s="238"/>
      <c r="Q23" s="619"/>
      <c r="R23" s="347" t="s">
        <v>566</v>
      </c>
      <c r="S23" s="494">
        <f>(R37/S37)*T5</f>
        <v>44.295213727288839</v>
      </c>
      <c r="T23" s="495"/>
      <c r="U23" s="496"/>
      <c r="V23" s="496"/>
      <c r="W23" s="497"/>
      <c r="Y23" s="246"/>
      <c r="Z23" s="246"/>
      <c r="AA23" s="246"/>
      <c r="AB23" s="246"/>
      <c r="AC23" s="246"/>
      <c r="AD23" s="246"/>
      <c r="AE23" s="246"/>
      <c r="AF23" s="246"/>
      <c r="AG23" s="246"/>
      <c r="AH23" s="246"/>
      <c r="AI23" s="246"/>
      <c r="AJ23" s="246"/>
      <c r="AK23" s="246"/>
      <c r="AL23" s="246"/>
      <c r="AM23" s="246"/>
      <c r="AN23" s="246"/>
      <c r="AO23" s="246"/>
      <c r="AP23" s="246"/>
      <c r="AQ23" s="246"/>
      <c r="AS23" s="232">
        <f t="shared" si="1"/>
        <v>19</v>
      </c>
      <c r="AT23" s="278">
        <f t="shared" si="5"/>
        <v>85.106382978723403</v>
      </c>
      <c r="AU23" s="278"/>
      <c r="AV23" s="278">
        <f t="shared" si="2"/>
        <v>16.170212765957448</v>
      </c>
      <c r="AW23" s="278">
        <f t="shared" si="6"/>
        <v>85.106382978723403</v>
      </c>
      <c r="AX23" s="232">
        <f t="shared" si="7"/>
        <v>16.170212765957448</v>
      </c>
      <c r="AY23" s="279">
        <f t="shared" si="0"/>
        <v>5.5013210766133191E-2</v>
      </c>
      <c r="AZ23" s="232">
        <f t="shared" si="4"/>
        <v>2.1770595584672894E-2</v>
      </c>
      <c r="BA23" s="232"/>
    </row>
    <row r="24" spans="1:54" ht="12.75" customHeight="1" x14ac:dyDescent="0.2">
      <c r="A24" s="246"/>
      <c r="B24" s="638"/>
      <c r="C24" s="639"/>
      <c r="D24" s="639"/>
      <c r="E24" s="639"/>
      <c r="F24" s="618"/>
      <c r="G24" s="261" t="s">
        <v>542</v>
      </c>
      <c r="H24" s="262"/>
      <c r="I24" s="488">
        <f>V14</f>
        <v>4.3606608568153987E-3</v>
      </c>
      <c r="J24" s="263"/>
      <c r="K24" s="264"/>
      <c r="L24" s="263"/>
      <c r="M24" s="263"/>
      <c r="N24" s="263"/>
      <c r="O24" s="263"/>
      <c r="P24" s="238"/>
      <c r="Q24" s="619"/>
      <c r="R24" s="347" t="s">
        <v>570</v>
      </c>
      <c r="S24" s="494">
        <f>T9*$R$37</f>
        <v>76.505981165366222</v>
      </c>
      <c r="T24" s="495"/>
      <c r="U24" s="496" t="s">
        <v>570</v>
      </c>
      <c r="V24" s="496"/>
      <c r="W24" s="497">
        <f>S24/S$23</f>
        <v>1.7271839263805917</v>
      </c>
      <c r="Y24" s="246"/>
      <c r="Z24" s="246"/>
      <c r="AA24" s="246"/>
      <c r="AB24" s="246"/>
      <c r="AC24" s="246"/>
      <c r="AD24" s="246"/>
      <c r="AE24" s="246"/>
      <c r="AF24" s="246"/>
      <c r="AG24" s="246"/>
      <c r="AH24" s="246"/>
      <c r="AI24" s="246"/>
      <c r="AJ24" s="246"/>
      <c r="AK24" s="246"/>
      <c r="AL24" s="246"/>
      <c r="AM24" s="246"/>
      <c r="AN24" s="246"/>
      <c r="AO24" s="246"/>
      <c r="AP24" s="246"/>
      <c r="AQ24" s="246"/>
      <c r="AS24" s="232">
        <f t="shared" si="1"/>
        <v>20</v>
      </c>
      <c r="AT24" s="278">
        <f t="shared" si="5"/>
        <v>85.106382978723403</v>
      </c>
      <c r="AU24" s="278"/>
      <c r="AV24" s="278">
        <f t="shared" si="2"/>
        <v>16.170212765957448</v>
      </c>
      <c r="AW24" s="278">
        <f t="shared" si="6"/>
        <v>85.106382978723403</v>
      </c>
      <c r="AX24" s="232">
        <f>IF(ISNUMBER(AS25),SUM(AU24:AV24),SUM(AU24:AW24))</f>
        <v>101.27659574468085</v>
      </c>
      <c r="AY24" s="279">
        <f t="shared" si="0"/>
        <v>0.30321841879297384</v>
      </c>
      <c r="AZ24" s="232">
        <f t="shared" si="4"/>
        <v>0.11427983305645284</v>
      </c>
      <c r="BA24" s="232"/>
    </row>
    <row r="25" spans="1:54" ht="14.5" customHeight="1" thickBot="1" x14ac:dyDescent="0.25">
      <c r="A25" s="246"/>
      <c r="B25" s="638"/>
      <c r="C25" s="639"/>
      <c r="D25" s="639"/>
      <c r="E25" s="639"/>
      <c r="F25" s="265" t="s">
        <v>574</v>
      </c>
      <c r="G25" s="266"/>
      <c r="H25" s="266"/>
      <c r="I25" s="267">
        <f>V14*J37</f>
        <v>1.2468101298350782</v>
      </c>
      <c r="J25" s="263"/>
      <c r="K25" s="264"/>
      <c r="L25" s="263"/>
      <c r="M25" s="263"/>
      <c r="N25" s="263"/>
      <c r="O25" s="263"/>
      <c r="P25" s="238"/>
      <c r="Q25" s="620"/>
      <c r="R25" s="347" t="s">
        <v>560</v>
      </c>
      <c r="S25" s="494">
        <f>T10*$R$37</f>
        <v>52.618291776217205</v>
      </c>
      <c r="T25" s="495"/>
      <c r="U25" s="496" t="s">
        <v>560</v>
      </c>
      <c r="V25" s="496"/>
      <c r="W25" s="497">
        <f>S25/S$23</f>
        <v>1.1879001668254914</v>
      </c>
      <c r="Y25" s="246"/>
      <c r="Z25" s="246"/>
      <c r="AA25" s="246"/>
      <c r="AB25" s="246"/>
      <c r="AC25" s="246"/>
      <c r="AD25" s="246"/>
      <c r="AE25" s="246"/>
      <c r="AF25" s="246"/>
      <c r="AG25" s="246"/>
      <c r="AH25" s="246"/>
      <c r="AI25" s="246"/>
      <c r="AJ25" s="246"/>
      <c r="AK25" s="246"/>
      <c r="AL25" s="246"/>
      <c r="AM25" s="246"/>
      <c r="AN25" s="246"/>
      <c r="AO25" s="246"/>
      <c r="AP25" s="246"/>
      <c r="AQ25" s="246"/>
      <c r="AS25" s="232" t="str">
        <f>IF(AS24&lt;$D$14,AS24+1,"")</f>
        <v/>
      </c>
      <c r="AT25" s="278">
        <f>IF(ISNUMBER(AS25),AW24,0)</f>
        <v>0</v>
      </c>
      <c r="AU25" s="278"/>
      <c r="AV25" s="278">
        <f t="shared" si="2"/>
        <v>0</v>
      </c>
      <c r="AW25" s="278">
        <f t="shared" si="6"/>
        <v>0</v>
      </c>
      <c r="AX25" s="232">
        <f t="shared" si="7"/>
        <v>0</v>
      </c>
      <c r="AY25" s="279">
        <f t="shared" si="0"/>
        <v>0</v>
      </c>
      <c r="AZ25" s="232">
        <f t="shared" si="4"/>
        <v>0</v>
      </c>
      <c r="BA25" s="232"/>
    </row>
    <row r="26" spans="1:54" ht="12" customHeight="1" thickBot="1" x14ac:dyDescent="0.25">
      <c r="A26" s="246"/>
      <c r="B26" s="567"/>
      <c r="C26" s="640"/>
      <c r="D26" s="640"/>
      <c r="E26" s="640"/>
      <c r="F26" s="247"/>
      <c r="G26" s="238"/>
      <c r="H26" s="238"/>
      <c r="I26" s="238"/>
      <c r="J26" s="238"/>
      <c r="K26" s="244"/>
      <c r="L26" s="238"/>
      <c r="M26" s="238"/>
      <c r="N26" s="238"/>
      <c r="O26" s="263"/>
      <c r="P26" s="238"/>
      <c r="Q26" s="238"/>
      <c r="R26" s="347" t="s">
        <v>390</v>
      </c>
      <c r="S26" s="494" t="e">
        <f>T12*$R$37</f>
        <v>#DIV/0!</v>
      </c>
      <c r="T26" s="495"/>
      <c r="U26" s="496" t="s">
        <v>390</v>
      </c>
      <c r="V26" s="496"/>
      <c r="W26" s="497" t="e">
        <f>S26/S$23</f>
        <v>#DIV/0!</v>
      </c>
      <c r="Y26" s="246"/>
      <c r="Z26" s="246"/>
      <c r="AA26" s="246"/>
      <c r="AB26" s="246"/>
      <c r="AC26" s="246"/>
      <c r="AD26" s="246"/>
      <c r="AE26" s="246"/>
      <c r="AF26" s="246"/>
      <c r="AG26" s="246"/>
      <c r="AH26" s="246"/>
      <c r="AI26" s="246"/>
      <c r="AJ26" s="246"/>
      <c r="AK26" s="246"/>
      <c r="AL26" s="246"/>
      <c r="AM26" s="246"/>
      <c r="AN26" s="246"/>
      <c r="AO26" s="246"/>
      <c r="AP26" s="246"/>
      <c r="AQ26" s="246"/>
      <c r="AS26" s="232" t="str">
        <f t="shared" si="1"/>
        <v/>
      </c>
      <c r="AT26" s="278">
        <f t="shared" si="5"/>
        <v>0</v>
      </c>
      <c r="AU26" s="278"/>
      <c r="AV26" s="278">
        <f t="shared" si="2"/>
        <v>0</v>
      </c>
      <c r="AW26" s="278">
        <f t="shared" si="6"/>
        <v>0</v>
      </c>
      <c r="AX26" s="232">
        <f t="shared" si="7"/>
        <v>0</v>
      </c>
      <c r="AY26" s="279">
        <f t="shared" si="0"/>
        <v>0</v>
      </c>
      <c r="AZ26" s="232">
        <f t="shared" si="4"/>
        <v>0</v>
      </c>
      <c r="BA26" s="232"/>
    </row>
    <row r="27" spans="1:54" ht="12.75" customHeight="1" x14ac:dyDescent="0.2">
      <c r="A27" s="246"/>
      <c r="B27" s="246"/>
      <c r="C27" s="246"/>
      <c r="D27" s="246"/>
      <c r="E27" s="238"/>
      <c r="F27" s="268" t="s">
        <v>282</v>
      </c>
      <c r="G27" s="489">
        <f>I21/I$24</f>
        <v>6.1814510321032463</v>
      </c>
      <c r="H27" s="269" t="s">
        <v>568</v>
      </c>
      <c r="I27" s="266"/>
      <c r="J27" s="266"/>
      <c r="K27" s="270"/>
      <c r="L27" s="238"/>
      <c r="M27" s="238"/>
      <c r="N27" s="238"/>
      <c r="O27" s="263"/>
      <c r="P27" s="238"/>
      <c r="R27" s="347" t="s">
        <v>542</v>
      </c>
      <c r="S27" s="494">
        <f>V14*$R$37</f>
        <v>12.376702616915331</v>
      </c>
      <c r="T27" s="495"/>
      <c r="U27" s="496" t="s">
        <v>542</v>
      </c>
      <c r="V27" s="496"/>
      <c r="W27" s="497">
        <f>S27/S$23</f>
        <v>0.27941399477412271</v>
      </c>
      <c r="Y27" s="246"/>
      <c r="Z27" s="246"/>
      <c r="AA27" s="246"/>
      <c r="AB27" s="246"/>
      <c r="AC27" s="246"/>
      <c r="AD27" s="246"/>
      <c r="AE27" s="246"/>
      <c r="AF27" s="246"/>
      <c r="AG27" s="246"/>
      <c r="AH27" s="246"/>
      <c r="AI27" s="246"/>
      <c r="AJ27" s="246"/>
      <c r="AK27" s="246"/>
      <c r="AL27" s="246"/>
      <c r="AM27" s="246"/>
      <c r="AN27" s="246"/>
      <c r="AO27" s="246"/>
      <c r="AP27" s="246"/>
      <c r="AQ27" s="246"/>
      <c r="AS27" s="232" t="str">
        <f t="shared" si="1"/>
        <v/>
      </c>
      <c r="AT27" s="278">
        <f t="shared" si="5"/>
        <v>0</v>
      </c>
      <c r="AU27" s="278"/>
      <c r="AV27" s="278">
        <f t="shared" si="2"/>
        <v>0</v>
      </c>
      <c r="AW27" s="278">
        <f t="shared" si="6"/>
        <v>0</v>
      </c>
      <c r="AX27" s="232">
        <f t="shared" si="7"/>
        <v>0</v>
      </c>
      <c r="AY27" s="279">
        <f t="shared" si="0"/>
        <v>0</v>
      </c>
      <c r="AZ27" s="232">
        <f t="shared" si="4"/>
        <v>0</v>
      </c>
      <c r="BA27" s="288"/>
      <c r="BB27" s="246"/>
    </row>
    <row r="28" spans="1:54" s="246" customFormat="1" ht="14.5" customHeight="1" x14ac:dyDescent="0.2">
      <c r="E28" s="238"/>
      <c r="F28" s="268" t="s">
        <v>569</v>
      </c>
      <c r="G28" s="489">
        <f>I22/I$24</f>
        <v>4.2513982443355633</v>
      </c>
      <c r="H28" s="269" t="s">
        <v>568</v>
      </c>
      <c r="I28" s="266"/>
      <c r="J28" s="266"/>
      <c r="K28" s="270"/>
      <c r="L28" s="238"/>
      <c r="M28" s="238"/>
      <c r="N28" s="238"/>
      <c r="O28" s="263"/>
      <c r="P28" s="238"/>
      <c r="R28" s="345" t="s">
        <v>247</v>
      </c>
      <c r="S28" s="498"/>
      <c r="T28" s="495"/>
      <c r="U28" s="495"/>
      <c r="V28" s="495"/>
      <c r="W28" s="499" t="s">
        <v>280</v>
      </c>
      <c r="AS28" s="232" t="str">
        <f t="shared" si="1"/>
        <v/>
      </c>
      <c r="AT28" s="278">
        <f t="shared" si="5"/>
        <v>0</v>
      </c>
      <c r="AU28" s="278"/>
      <c r="AV28" s="278">
        <f t="shared" si="2"/>
        <v>0</v>
      </c>
      <c r="AW28" s="278">
        <f t="shared" si="6"/>
        <v>0</v>
      </c>
      <c r="AX28" s="232">
        <f>IF(ISNUMBER(AS29),SUM(AU28:AV28),SUM(AU28:AW28))</f>
        <v>0</v>
      </c>
      <c r="AY28" s="279">
        <f t="shared" si="0"/>
        <v>0</v>
      </c>
      <c r="AZ28" s="232">
        <f t="shared" si="4"/>
        <v>0</v>
      </c>
      <c r="BA28" s="232"/>
      <c r="BB28" s="233"/>
    </row>
    <row r="29" spans="1:54" ht="13.75" customHeight="1" x14ac:dyDescent="0.2">
      <c r="A29" s="246"/>
      <c r="B29" s="246"/>
      <c r="C29" s="246"/>
      <c r="D29" s="246"/>
      <c r="E29" s="238"/>
      <c r="F29" s="268" t="s">
        <v>407</v>
      </c>
      <c r="G29" s="489" t="e">
        <f>I23/I$24</f>
        <v>#DIV/0!</v>
      </c>
      <c r="H29" s="269" t="s">
        <v>568</v>
      </c>
      <c r="I29" s="266"/>
      <c r="J29" s="266"/>
      <c r="K29" s="270"/>
      <c r="L29" s="238"/>
      <c r="M29" s="238"/>
      <c r="N29" s="238"/>
      <c r="O29" s="263"/>
      <c r="P29" s="238"/>
      <c r="Q29" s="344"/>
      <c r="R29" s="346" t="s">
        <v>570</v>
      </c>
      <c r="S29" s="494">
        <f>IFERROR(IF(S24-S$23&gt;0,S24-S$23,"N/A"),"N/A")</f>
        <v>32.210767438077383</v>
      </c>
      <c r="T29" s="500"/>
      <c r="U29" s="496"/>
      <c r="V29" s="496"/>
      <c r="W29" s="501" t="str">
        <f>IF(AND(S29&lt;&gt;"N/A",S29&gt;=$W$33),R29,"Bednets")</f>
        <v>Bednets</v>
      </c>
      <c r="Y29" s="246"/>
      <c r="Z29" s="246"/>
      <c r="AA29" s="246"/>
      <c r="AB29" s="246"/>
      <c r="AC29" s="246"/>
      <c r="AD29" s="246"/>
      <c r="AE29" s="246"/>
      <c r="AF29" s="246"/>
      <c r="AG29" s="246"/>
      <c r="AH29" s="246"/>
      <c r="AI29" s="246"/>
      <c r="AJ29" s="246"/>
      <c r="AK29" s="246"/>
      <c r="AL29" s="246"/>
      <c r="AM29" s="246"/>
      <c r="AN29" s="246"/>
      <c r="AO29" s="246"/>
      <c r="AP29" s="246"/>
      <c r="AQ29" s="246"/>
      <c r="AS29" s="232" t="str">
        <f>IF(AS28&lt;$D$14,AS28+1,"")</f>
        <v/>
      </c>
      <c r="AT29" s="278">
        <f>IF(ISNUMBER(AS29),AW28,0)</f>
        <v>0</v>
      </c>
      <c r="AU29" s="278"/>
      <c r="AV29" s="278">
        <f t="shared" si="2"/>
        <v>0</v>
      </c>
      <c r="AW29" s="278">
        <f t="shared" si="6"/>
        <v>0</v>
      </c>
      <c r="AX29" s="232">
        <f t="shared" si="7"/>
        <v>0</v>
      </c>
      <c r="AY29" s="279">
        <f t="shared" si="0"/>
        <v>0</v>
      </c>
      <c r="AZ29" s="232">
        <f t="shared" si="4"/>
        <v>0</v>
      </c>
      <c r="BA29" s="232"/>
    </row>
    <row r="30" spans="1:54" ht="13.5" customHeight="1" x14ac:dyDescent="0.2">
      <c r="A30" s="246"/>
      <c r="B30" s="246"/>
      <c r="C30" s="246"/>
      <c r="D30" s="246"/>
      <c r="E30" s="238"/>
      <c r="F30" s="247"/>
      <c r="G30" s="238"/>
      <c r="H30" s="238"/>
      <c r="I30" s="238"/>
      <c r="J30" s="263"/>
      <c r="K30" s="264"/>
      <c r="L30" s="238"/>
      <c r="M30" s="238"/>
      <c r="N30" s="238"/>
      <c r="O30" s="263"/>
      <c r="P30" s="238"/>
      <c r="Q30" s="344"/>
      <c r="R30" s="346" t="s">
        <v>560</v>
      </c>
      <c r="S30" s="494">
        <f>IFERROR(IF(S25-S$23&gt;0,S25-S$23,"N/A"),"N/A")</f>
        <v>8.323078048928366</v>
      </c>
      <c r="T30" s="500"/>
      <c r="U30" s="496"/>
      <c r="V30" s="496"/>
      <c r="W30" s="501" t="str">
        <f>IF(AND(S30&lt;&gt;"N/A",S30&gt;=$W$33),R30,"Bednets")</f>
        <v>Bednets</v>
      </c>
      <c r="Y30" s="246"/>
      <c r="Z30" s="246"/>
      <c r="AA30" s="246"/>
      <c r="AB30" s="246"/>
      <c r="AC30" s="246"/>
      <c r="AD30" s="246"/>
      <c r="AE30" s="246"/>
      <c r="AF30" s="246"/>
      <c r="AG30" s="246"/>
      <c r="AH30" s="246"/>
      <c r="AI30" s="246"/>
      <c r="AJ30" s="246"/>
      <c r="AK30" s="246"/>
      <c r="AL30" s="246"/>
      <c r="AM30" s="246"/>
      <c r="AN30" s="246"/>
      <c r="AO30" s="246"/>
      <c r="AP30" s="246"/>
      <c r="AQ30" s="246"/>
      <c r="AS30" s="232" t="str">
        <f t="shared" si="1"/>
        <v/>
      </c>
      <c r="AT30" s="278">
        <f t="shared" si="5"/>
        <v>0</v>
      </c>
      <c r="AU30" s="278"/>
      <c r="AV30" s="278">
        <f t="shared" si="2"/>
        <v>0</v>
      </c>
      <c r="AW30" s="278">
        <f t="shared" si="6"/>
        <v>0</v>
      </c>
      <c r="AX30" s="232">
        <f>IF(ISNUMBER(AS33),SUM(AU30:AV30),SUM(AU30:AW30))</f>
        <v>0</v>
      </c>
      <c r="AY30" s="279">
        <f t="shared" si="0"/>
        <v>0</v>
      </c>
      <c r="AZ30" s="232">
        <f t="shared" si="4"/>
        <v>0</v>
      </c>
      <c r="BA30" s="232"/>
    </row>
    <row r="31" spans="1:54" ht="13.5" customHeight="1" x14ac:dyDescent="0.2">
      <c r="A31" s="246"/>
      <c r="B31" s="246"/>
      <c r="C31" s="246"/>
      <c r="D31" s="246"/>
      <c r="E31" s="238"/>
      <c r="F31" s="618" t="s">
        <v>446</v>
      </c>
      <c r="G31" s="261" t="s">
        <v>570</v>
      </c>
      <c r="H31" s="262"/>
      <c r="I31" s="431">
        <f>V9</f>
        <v>4065.0766097839705</v>
      </c>
      <c r="J31" s="263"/>
      <c r="K31" s="264"/>
      <c r="L31" s="238"/>
      <c r="M31" s="238"/>
      <c r="N31" s="238"/>
      <c r="O31" s="263"/>
      <c r="P31" s="238"/>
      <c r="Q31" s="286"/>
      <c r="R31" s="346" t="s">
        <v>390</v>
      </c>
      <c r="S31" s="494" t="str">
        <f>IFERROR(IF(S26-S$23&gt;0,S26-S$23,"N/A"),"N/A")</f>
        <v>N/A</v>
      </c>
      <c r="T31" s="500"/>
      <c r="U31" s="496"/>
      <c r="V31" s="496"/>
      <c r="W31" s="501" t="str">
        <f>IF(AND(S31&lt;&gt;"N/A",S31&gt;=$W$33),R31,"Bednets")</f>
        <v>Bednets</v>
      </c>
      <c r="Y31" s="246"/>
      <c r="Z31" s="246"/>
      <c r="AA31" s="246"/>
      <c r="AB31" s="246"/>
      <c r="AC31" s="246"/>
      <c r="AD31" s="246"/>
      <c r="AE31" s="246"/>
      <c r="AF31" s="246"/>
      <c r="AG31" s="246"/>
      <c r="AH31" s="246"/>
      <c r="AI31" s="246"/>
      <c r="AJ31" s="246"/>
      <c r="AK31" s="246"/>
      <c r="AL31" s="246"/>
      <c r="AM31" s="246"/>
      <c r="AN31" s="246"/>
      <c r="AO31" s="246"/>
      <c r="AP31" s="246"/>
      <c r="AQ31" s="246"/>
      <c r="AS31" s="232"/>
      <c r="AT31" s="278"/>
      <c r="AU31" s="278"/>
      <c r="AV31" s="278"/>
      <c r="AW31" s="278"/>
      <c r="AX31" s="232"/>
      <c r="AY31" s="279"/>
      <c r="AZ31" s="232"/>
      <c r="BA31" s="232"/>
    </row>
    <row r="32" spans="1:54" ht="13.5" customHeight="1" x14ac:dyDescent="0.2">
      <c r="A32" s="246"/>
      <c r="B32" s="246"/>
      <c r="C32" s="246"/>
      <c r="D32" s="246"/>
      <c r="E32" s="238"/>
      <c r="F32" s="618"/>
      <c r="G32" s="261" t="s">
        <v>560</v>
      </c>
      <c r="H32" s="262"/>
      <c r="I32" s="431">
        <f>V10</f>
        <v>5910.5429698588659</v>
      </c>
      <c r="J32" s="263"/>
      <c r="K32" s="264"/>
      <c r="L32" s="263"/>
      <c r="M32" s="263"/>
      <c r="N32" s="263"/>
      <c r="O32" s="263"/>
      <c r="P32" s="238"/>
      <c r="Q32" s="286"/>
      <c r="R32" s="352"/>
      <c r="S32" s="353"/>
      <c r="T32" s="353"/>
      <c r="U32" s="353"/>
      <c r="V32" s="353"/>
      <c r="W32" s="354"/>
      <c r="Y32" s="246"/>
      <c r="Z32" s="246"/>
      <c r="AA32" s="246"/>
      <c r="AB32" s="246"/>
      <c r="AC32" s="246"/>
      <c r="AD32" s="246"/>
      <c r="AE32" s="246"/>
      <c r="AF32" s="246"/>
      <c r="AG32" s="246"/>
      <c r="AH32" s="246"/>
      <c r="AI32" s="246"/>
      <c r="AJ32" s="246"/>
      <c r="AK32" s="246"/>
      <c r="AL32" s="246"/>
      <c r="AM32" s="246"/>
      <c r="AN32" s="246"/>
      <c r="AO32" s="246"/>
      <c r="AP32" s="246"/>
      <c r="AQ32" s="246"/>
      <c r="AS32" s="232"/>
      <c r="AT32" s="278"/>
      <c r="AU32" s="278"/>
      <c r="AV32" s="278"/>
      <c r="AW32" s="278"/>
      <c r="AX32" s="232"/>
      <c r="AY32" s="279"/>
      <c r="AZ32" s="232"/>
      <c r="BA32" s="232"/>
    </row>
    <row r="33" spans="1:53" ht="13.75" customHeight="1" thickBot="1" x14ac:dyDescent="0.25">
      <c r="A33" s="246"/>
      <c r="B33" s="246"/>
      <c r="C33" s="246"/>
      <c r="D33" s="246"/>
      <c r="E33" s="246"/>
      <c r="F33" s="618"/>
      <c r="G33" s="261" t="s">
        <v>566</v>
      </c>
      <c r="H33" s="262"/>
      <c r="I33" s="431">
        <f>V11</f>
        <v>2577.7518358866164</v>
      </c>
      <c r="J33" s="238"/>
      <c r="K33" s="244"/>
      <c r="L33" s="238"/>
      <c r="M33" s="238"/>
      <c r="N33" s="238"/>
      <c r="O33" s="238"/>
      <c r="P33" s="246"/>
      <c r="Q33" s="286"/>
      <c r="R33" s="642" t="s">
        <v>248</v>
      </c>
      <c r="S33" s="643"/>
      <c r="T33" s="643"/>
      <c r="U33" s="643"/>
      <c r="V33" s="643"/>
      <c r="W33" s="502">
        <f>$G$10*U37</f>
        <v>109.57500000000002</v>
      </c>
      <c r="X33" s="286"/>
      <c r="Y33" s="286"/>
      <c r="Z33" s="246"/>
      <c r="AA33" s="246"/>
      <c r="AB33" s="246"/>
      <c r="AC33" s="246"/>
      <c r="AD33" s="246"/>
      <c r="AE33" s="246"/>
      <c r="AF33" s="246"/>
      <c r="AG33" s="246"/>
      <c r="AH33" s="246"/>
      <c r="AI33" s="246"/>
      <c r="AJ33" s="246"/>
      <c r="AK33" s="246"/>
      <c r="AL33" s="246"/>
      <c r="AM33" s="246"/>
      <c r="AN33" s="246"/>
      <c r="AO33" s="246"/>
      <c r="AP33" s="246"/>
      <c r="AQ33" s="246"/>
      <c r="AS33" s="232" t="str">
        <f>IF(AS30&lt;$D$14,AS30+1,"")</f>
        <v/>
      </c>
      <c r="AT33" s="278">
        <f>IF(ISNUMBER(AS33),AW30,0)</f>
        <v>0</v>
      </c>
      <c r="AU33" s="278"/>
      <c r="AV33" s="278">
        <f t="shared" si="2"/>
        <v>0</v>
      </c>
      <c r="AW33" s="278">
        <f t="shared" si="6"/>
        <v>0</v>
      </c>
      <c r="AX33" s="232">
        <f>IF(ISNUMBER(AS35),SUM(AU33:AV33),SUM(AU33:AW33))</f>
        <v>0</v>
      </c>
      <c r="AY33" s="279">
        <f>LN(AX33+$J$37)-LN($J$37)</f>
        <v>0</v>
      </c>
      <c r="AZ33" s="232">
        <f t="shared" si="4"/>
        <v>0</v>
      </c>
    </row>
    <row r="34" spans="1:53" ht="13.75" customHeight="1" thickBot="1" x14ac:dyDescent="0.25">
      <c r="A34" s="246"/>
      <c r="B34" s="246"/>
      <c r="C34" s="246"/>
      <c r="D34" s="246"/>
      <c r="E34" s="246"/>
      <c r="F34" s="641"/>
      <c r="G34" s="289" t="s">
        <v>390</v>
      </c>
      <c r="H34" s="290"/>
      <c r="I34" s="432" t="str">
        <f>V12</f>
        <v>-</v>
      </c>
      <c r="J34" s="239"/>
      <c r="K34" s="325"/>
      <c r="L34" s="238"/>
      <c r="M34" s="238"/>
      <c r="N34" s="238"/>
      <c r="O34" s="238"/>
      <c r="P34" s="246"/>
      <c r="Q34" s="286"/>
      <c r="R34" s="378"/>
      <c r="S34" s="378"/>
      <c r="T34" s="378"/>
      <c r="U34" s="378"/>
      <c r="V34" s="378"/>
      <c r="W34" s="287"/>
      <c r="X34" s="287"/>
      <c r="Y34" s="286"/>
      <c r="Z34" s="246"/>
      <c r="AA34" s="246"/>
      <c r="AB34" s="246"/>
      <c r="AC34" s="246"/>
      <c r="AD34" s="246"/>
      <c r="AE34" s="246"/>
      <c r="AF34" s="246"/>
      <c r="AG34" s="246"/>
      <c r="AH34" s="246"/>
      <c r="AI34" s="246"/>
      <c r="AJ34" s="246"/>
      <c r="AK34" s="246"/>
      <c r="AL34" s="246"/>
      <c r="AM34" s="246"/>
      <c r="AN34" s="246"/>
      <c r="AO34" s="246"/>
      <c r="AP34" s="246"/>
      <c r="AQ34" s="246"/>
      <c r="AS34" s="232"/>
      <c r="AT34" s="278"/>
      <c r="AU34" s="278"/>
      <c r="AV34" s="278"/>
      <c r="AW34" s="278"/>
      <c r="AX34" s="232"/>
      <c r="AY34" s="279"/>
      <c r="AZ34" s="232"/>
    </row>
    <row r="35" spans="1:53" ht="51" customHeight="1" thickBot="1" x14ac:dyDescent="0.25">
      <c r="B35" s="246"/>
      <c r="C35" s="246"/>
      <c r="D35" s="246"/>
      <c r="E35" s="246"/>
      <c r="F35" s="246"/>
      <c r="G35" s="246"/>
      <c r="H35" s="246"/>
      <c r="I35" s="309"/>
      <c r="J35" s="309"/>
      <c r="K35" s="246"/>
      <c r="L35" s="246"/>
      <c r="M35" s="246"/>
      <c r="N35" s="246"/>
      <c r="O35" s="246"/>
      <c r="P35" s="246"/>
      <c r="Q35" s="286"/>
      <c r="R35" s="286"/>
      <c r="S35" s="286"/>
      <c r="T35" s="286"/>
      <c r="U35" s="286"/>
      <c r="W35" s="246"/>
      <c r="Y35" s="286"/>
      <c r="Z35" s="246"/>
      <c r="AA35" s="246"/>
      <c r="AB35" s="246"/>
      <c r="AC35" s="246"/>
      <c r="AD35" s="246"/>
      <c r="AE35" s="246"/>
      <c r="AF35" s="246"/>
      <c r="AG35" s="246"/>
      <c r="AH35" s="246"/>
      <c r="AI35" s="246"/>
      <c r="AJ35" s="246"/>
      <c r="AK35" s="246"/>
      <c r="AL35" s="246"/>
      <c r="AM35" s="246"/>
      <c r="AN35" s="246"/>
      <c r="AR35" s="232"/>
      <c r="AS35" s="232" t="str">
        <f>IF(AS33&lt;$D$14,AS33+1,"")</f>
        <v/>
      </c>
      <c r="AT35" s="278">
        <f>IF(ISNUMBER(AS35),AW33,0)</f>
        <v>0</v>
      </c>
      <c r="AU35" s="278"/>
      <c r="AV35" s="278">
        <f t="shared" si="2"/>
        <v>0</v>
      </c>
      <c r="AW35" s="278">
        <f t="shared" si="6"/>
        <v>0</v>
      </c>
      <c r="AX35" s="232">
        <f t="shared" si="7"/>
        <v>0</v>
      </c>
      <c r="AY35" s="279">
        <f>LN(AX35+$J$37)-LN($J$37)</f>
        <v>0</v>
      </c>
      <c r="AZ35" s="232">
        <f t="shared" si="4"/>
        <v>0</v>
      </c>
    </row>
    <row r="36" spans="1:53" ht="31.5" customHeight="1" x14ac:dyDescent="0.2">
      <c r="A36" s="246"/>
      <c r="B36" s="644" t="s">
        <v>557</v>
      </c>
      <c r="C36" s="248"/>
      <c r="D36" s="647" t="s">
        <v>552</v>
      </c>
      <c r="E36" s="648"/>
      <c r="F36" s="649"/>
      <c r="G36" s="250" t="s">
        <v>544</v>
      </c>
      <c r="H36" s="647" t="s">
        <v>555</v>
      </c>
      <c r="I36" s="649"/>
      <c r="J36" s="647" t="s">
        <v>554</v>
      </c>
      <c r="K36" s="648"/>
      <c r="L36" s="648"/>
      <c r="M36" s="648"/>
      <c r="N36" s="649"/>
      <c r="O36" s="647" t="s">
        <v>545</v>
      </c>
      <c r="P36" s="649"/>
      <c r="Q36" s="470" t="s">
        <v>546</v>
      </c>
      <c r="R36" s="281" t="s">
        <v>441</v>
      </c>
      <c r="S36" s="466" t="s">
        <v>553</v>
      </c>
      <c r="T36" s="467"/>
      <c r="U36" s="281" t="s">
        <v>435</v>
      </c>
      <c r="V36" s="281" t="s">
        <v>401</v>
      </c>
      <c r="W36" s="283" t="s">
        <v>404</v>
      </c>
      <c r="X36" s="212"/>
      <c r="Y36" s="246"/>
      <c r="Z36" s="246"/>
      <c r="AA36" s="246"/>
      <c r="AB36" s="246"/>
      <c r="AC36" s="246"/>
      <c r="AD36" s="246"/>
      <c r="AE36" s="246"/>
      <c r="AF36" s="246"/>
      <c r="AG36" s="246"/>
      <c r="AH36" s="246"/>
      <c r="AI36" s="246"/>
      <c r="AJ36" s="246"/>
      <c r="AK36" s="246"/>
      <c r="AL36" s="246"/>
      <c r="AM36" s="246"/>
      <c r="AN36" s="246"/>
      <c r="AR36" s="232"/>
      <c r="AS36" s="232" t="str">
        <f t="shared" si="1"/>
        <v/>
      </c>
      <c r="AT36" s="278">
        <f t="shared" si="5"/>
        <v>0</v>
      </c>
      <c r="AU36" s="278"/>
      <c r="AV36" s="278">
        <f t="shared" si="2"/>
        <v>0</v>
      </c>
      <c r="AW36" s="278">
        <f t="shared" si="6"/>
        <v>0</v>
      </c>
      <c r="AX36" s="232">
        <f t="shared" si="7"/>
        <v>0</v>
      </c>
      <c r="AY36" s="279">
        <f>LN(AX36+$J$37)-LN($J$37)</f>
        <v>0</v>
      </c>
      <c r="AZ36" s="232">
        <f t="shared" si="4"/>
        <v>0</v>
      </c>
      <c r="BA36" s="232"/>
    </row>
    <row r="37" spans="1:53" ht="12" customHeight="1" x14ac:dyDescent="0.2">
      <c r="A37" s="246"/>
      <c r="B37" s="645"/>
      <c r="C37" s="251" t="s">
        <v>548</v>
      </c>
      <c r="D37" s="650">
        <f>Parameters!$D$29</f>
        <v>0.26900000000000002</v>
      </c>
      <c r="E37" s="651"/>
      <c r="F37" s="652"/>
      <c r="G37" s="255">
        <f>Parameters!$D$30</f>
        <v>2.41</v>
      </c>
      <c r="H37" s="653">
        <f>Parameters!$D$61</f>
        <v>4.7</v>
      </c>
      <c r="I37" s="654"/>
      <c r="J37" s="629">
        <f>Parameters!$D$58</f>
        <v>285.92228810603416</v>
      </c>
      <c r="K37" s="630"/>
      <c r="L37" s="630"/>
      <c r="M37" s="630"/>
      <c r="N37" s="631"/>
      <c r="O37" s="632">
        <f>Parameters!$D$59</f>
        <v>1000</v>
      </c>
      <c r="P37" s="633"/>
      <c r="Q37" s="280">
        <f>Parameters!$D$60</f>
        <v>212.7659574468085</v>
      </c>
      <c r="R37" s="282">
        <f>Parameters!$D$49</f>
        <v>2838.2630576673801</v>
      </c>
      <c r="S37" s="282">
        <f>Parameters!$D$50</f>
        <v>3.6112369528824271</v>
      </c>
      <c r="T37" s="464"/>
      <c r="U37" s="340">
        <f>Parameters!$D$11</f>
        <v>36.525000000000006</v>
      </c>
      <c r="V37" s="328">
        <f>Parameters!$D$45</f>
        <v>15</v>
      </c>
      <c r="W37" s="320">
        <f>Parameters!$D$46</f>
        <v>0.43099999999999999</v>
      </c>
      <c r="X37" s="316"/>
      <c r="Y37" s="246"/>
      <c r="Z37" s="238"/>
      <c r="AA37" s="246"/>
      <c r="AB37" s="246"/>
      <c r="AC37" s="246"/>
      <c r="AD37" s="246"/>
      <c r="AE37" s="246"/>
      <c r="AF37" s="246"/>
      <c r="AG37" s="246"/>
      <c r="AH37" s="246"/>
      <c r="AI37" s="246"/>
      <c r="AJ37" s="246"/>
      <c r="AK37" s="246"/>
      <c r="AL37" s="246"/>
      <c r="AM37" s="246"/>
      <c r="AN37" s="246"/>
      <c r="AO37" s="246"/>
      <c r="AS37" s="232" t="str">
        <f t="shared" si="1"/>
        <v/>
      </c>
      <c r="AT37" s="278">
        <f t="shared" si="5"/>
        <v>0</v>
      </c>
      <c r="AU37" s="278"/>
      <c r="AV37" s="278">
        <f t="shared" si="2"/>
        <v>0</v>
      </c>
      <c r="AW37" s="278">
        <f t="shared" si="6"/>
        <v>0</v>
      </c>
      <c r="AX37" s="232">
        <f t="shared" si="7"/>
        <v>0</v>
      </c>
      <c r="AY37" s="279">
        <f>LN(AX37+$J$37)-LN($J$37)</f>
        <v>0</v>
      </c>
      <c r="AZ37" s="232">
        <f t="shared" si="4"/>
        <v>0</v>
      </c>
      <c r="BA37" s="232"/>
    </row>
    <row r="38" spans="1:53" ht="12" customHeight="1" thickBot="1" x14ac:dyDescent="0.25">
      <c r="A38" s="246"/>
      <c r="B38" s="646"/>
      <c r="C38" s="252" t="s">
        <v>549</v>
      </c>
      <c r="D38" s="634" t="s">
        <v>218</v>
      </c>
      <c r="E38" s="635"/>
      <c r="F38" s="635"/>
      <c r="G38" s="636"/>
      <c r="H38" s="392" t="s">
        <v>551</v>
      </c>
      <c r="I38" s="393"/>
      <c r="J38" s="393"/>
      <c r="K38" s="393"/>
      <c r="L38" s="393"/>
      <c r="M38" s="393"/>
      <c r="N38" s="393"/>
      <c r="O38" s="393"/>
      <c r="P38" s="393"/>
      <c r="Q38" s="394"/>
      <c r="R38" s="634" t="s">
        <v>131</v>
      </c>
      <c r="S38" s="635"/>
      <c r="T38" s="636"/>
      <c r="U38" s="329" t="s">
        <v>253</v>
      </c>
      <c r="V38" s="330" t="s">
        <v>402</v>
      </c>
      <c r="W38" s="331" t="s">
        <v>349</v>
      </c>
      <c r="X38" s="429"/>
      <c r="Y38" s="246"/>
      <c r="Z38" s="238"/>
      <c r="AA38" s="246"/>
      <c r="AB38" s="246"/>
      <c r="AC38" s="246"/>
      <c r="AD38" s="246"/>
      <c r="AE38" s="246"/>
      <c r="AF38" s="246"/>
      <c r="AG38" s="246"/>
      <c r="AH38" s="246"/>
      <c r="AI38" s="246"/>
      <c r="AJ38" s="246"/>
      <c r="AK38" s="246"/>
      <c r="AL38" s="246"/>
      <c r="AM38" s="246"/>
      <c r="AN38" s="246"/>
      <c r="AO38" s="246"/>
      <c r="AP38" s="246"/>
      <c r="AQ38" s="246"/>
      <c r="AS38" s="232" t="str">
        <f t="shared" si="1"/>
        <v/>
      </c>
      <c r="AT38" s="278">
        <f t="shared" si="5"/>
        <v>0</v>
      </c>
      <c r="AU38" s="278"/>
      <c r="AV38" s="278">
        <f t="shared" si="2"/>
        <v>0</v>
      </c>
      <c r="AW38" s="278">
        <f t="shared" si="6"/>
        <v>0</v>
      </c>
      <c r="AX38" s="232">
        <f t="shared" si="7"/>
        <v>0</v>
      </c>
      <c r="AY38" s="279">
        <f>LN(AX38+$J$37)-LN($J$37)</f>
        <v>0</v>
      </c>
      <c r="AZ38" s="232">
        <f t="shared" si="4"/>
        <v>0</v>
      </c>
      <c r="BA38" s="232"/>
    </row>
    <row r="39" spans="1:53" s="246" customFormat="1" ht="15" x14ac:dyDescent="0.2">
      <c r="J39" s="309"/>
      <c r="K39" s="309"/>
      <c r="L39" s="309"/>
      <c r="M39" s="309"/>
      <c r="Z39" s="238"/>
      <c r="AS39" s="288" t="str">
        <f t="shared" si="1"/>
        <v/>
      </c>
      <c r="AT39" s="326">
        <f t="shared" si="5"/>
        <v>0</v>
      </c>
      <c r="AU39" s="326"/>
      <c r="AV39" s="326">
        <f t="shared" si="2"/>
        <v>0</v>
      </c>
      <c r="AW39" s="326">
        <f t="shared" si="6"/>
        <v>0</v>
      </c>
      <c r="AX39" s="288">
        <f t="shared" si="7"/>
        <v>0</v>
      </c>
      <c r="AY39" s="327">
        <f t="shared" ref="AY39:AY102" si="8">LN(AX39+$J$37)-LN($J$37)</f>
        <v>0</v>
      </c>
      <c r="AZ39" s="288">
        <f t="shared" si="4"/>
        <v>0</v>
      </c>
      <c r="BA39" s="288"/>
    </row>
    <row r="40" spans="1:53" s="246" customFormat="1" ht="15" x14ac:dyDescent="0.2">
      <c r="R40" s="309"/>
      <c r="AS40" s="288" t="str">
        <f t="shared" si="1"/>
        <v/>
      </c>
      <c r="AT40" s="326">
        <f t="shared" si="5"/>
        <v>0</v>
      </c>
      <c r="AU40" s="326"/>
      <c r="AV40" s="326">
        <f t="shared" si="2"/>
        <v>0</v>
      </c>
      <c r="AW40" s="326">
        <f t="shared" si="6"/>
        <v>0</v>
      </c>
      <c r="AX40" s="288">
        <f t="shared" si="7"/>
        <v>0</v>
      </c>
      <c r="AY40" s="327">
        <f t="shared" si="8"/>
        <v>0</v>
      </c>
      <c r="AZ40" s="288">
        <f t="shared" si="4"/>
        <v>0</v>
      </c>
      <c r="BA40" s="288"/>
    </row>
    <row r="41" spans="1:53" s="246" customFormat="1" ht="15" x14ac:dyDescent="0.2">
      <c r="R41" s="309"/>
      <c r="AS41" s="288" t="str">
        <f t="shared" si="1"/>
        <v/>
      </c>
      <c r="AT41" s="326">
        <f t="shared" si="5"/>
        <v>0</v>
      </c>
      <c r="AU41" s="326"/>
      <c r="AV41" s="326">
        <f t="shared" si="2"/>
        <v>0</v>
      </c>
      <c r="AW41" s="326">
        <f t="shared" si="6"/>
        <v>0</v>
      </c>
      <c r="AX41" s="288">
        <f t="shared" si="7"/>
        <v>0</v>
      </c>
      <c r="AY41" s="327">
        <f t="shared" si="8"/>
        <v>0</v>
      </c>
      <c r="AZ41" s="288">
        <f t="shared" si="4"/>
        <v>0</v>
      </c>
      <c r="BA41" s="288"/>
    </row>
    <row r="42" spans="1:53" s="246" customFormat="1" ht="15" x14ac:dyDescent="0.2">
      <c r="R42" s="309"/>
      <c r="S42" s="410"/>
      <c r="AS42" s="288" t="str">
        <f t="shared" si="1"/>
        <v/>
      </c>
      <c r="AT42" s="326">
        <f t="shared" si="5"/>
        <v>0</v>
      </c>
      <c r="AU42" s="326"/>
      <c r="AV42" s="326">
        <f t="shared" si="2"/>
        <v>0</v>
      </c>
      <c r="AW42" s="326">
        <f t="shared" si="6"/>
        <v>0</v>
      </c>
      <c r="AX42" s="288">
        <f t="shared" si="7"/>
        <v>0</v>
      </c>
      <c r="AY42" s="327">
        <f t="shared" si="8"/>
        <v>0</v>
      </c>
      <c r="AZ42" s="288">
        <f t="shared" si="4"/>
        <v>0</v>
      </c>
      <c r="BA42" s="288"/>
    </row>
    <row r="43" spans="1:53" s="246" customFormat="1" ht="15" x14ac:dyDescent="0.2">
      <c r="R43" s="412"/>
      <c r="S43" s="387"/>
      <c r="AS43" s="288" t="str">
        <f t="shared" si="1"/>
        <v/>
      </c>
      <c r="AT43" s="326">
        <f t="shared" si="5"/>
        <v>0</v>
      </c>
      <c r="AU43" s="326"/>
      <c r="AV43" s="326">
        <f t="shared" si="2"/>
        <v>0</v>
      </c>
      <c r="AW43" s="326">
        <f t="shared" si="6"/>
        <v>0</v>
      </c>
      <c r="AX43" s="288">
        <f t="shared" si="7"/>
        <v>0</v>
      </c>
      <c r="AY43" s="327">
        <f t="shared" si="8"/>
        <v>0</v>
      </c>
      <c r="AZ43" s="288">
        <f t="shared" si="4"/>
        <v>0</v>
      </c>
      <c r="BA43" s="288"/>
    </row>
    <row r="44" spans="1:53" s="246" customFormat="1" ht="15" x14ac:dyDescent="0.2">
      <c r="S44" s="387"/>
      <c r="AS44" s="288" t="str">
        <f t="shared" si="1"/>
        <v/>
      </c>
      <c r="AT44" s="326">
        <f t="shared" si="5"/>
        <v>0</v>
      </c>
      <c r="AU44" s="326"/>
      <c r="AV44" s="326">
        <f t="shared" si="2"/>
        <v>0</v>
      </c>
      <c r="AW44" s="326">
        <f t="shared" si="6"/>
        <v>0</v>
      </c>
      <c r="AX44" s="288">
        <f t="shared" si="7"/>
        <v>0</v>
      </c>
      <c r="AY44" s="327">
        <f t="shared" si="8"/>
        <v>0</v>
      </c>
      <c r="AZ44" s="288">
        <f t="shared" si="4"/>
        <v>0</v>
      </c>
      <c r="BA44" s="288"/>
    </row>
    <row r="45" spans="1:53" s="246" customFormat="1" ht="15" x14ac:dyDescent="0.2">
      <c r="S45" s="387"/>
      <c r="AS45" s="288" t="str">
        <f t="shared" si="1"/>
        <v/>
      </c>
      <c r="AT45" s="326">
        <f t="shared" si="5"/>
        <v>0</v>
      </c>
      <c r="AU45" s="326"/>
      <c r="AV45" s="326">
        <f t="shared" si="2"/>
        <v>0</v>
      </c>
      <c r="AW45" s="326">
        <f t="shared" si="6"/>
        <v>0</v>
      </c>
      <c r="AX45" s="288">
        <f t="shared" si="7"/>
        <v>0</v>
      </c>
      <c r="AY45" s="327">
        <f t="shared" si="8"/>
        <v>0</v>
      </c>
      <c r="AZ45" s="288">
        <f t="shared" si="4"/>
        <v>0</v>
      </c>
      <c r="BA45" s="288"/>
    </row>
    <row r="46" spans="1:53" s="246" customFormat="1" ht="15" x14ac:dyDescent="0.2">
      <c r="S46" s="387"/>
      <c r="AS46" s="288" t="str">
        <f t="shared" si="1"/>
        <v/>
      </c>
      <c r="AT46" s="326">
        <f t="shared" si="5"/>
        <v>0</v>
      </c>
      <c r="AU46" s="326"/>
      <c r="AV46" s="326">
        <f t="shared" si="2"/>
        <v>0</v>
      </c>
      <c r="AW46" s="326">
        <f t="shared" si="6"/>
        <v>0</v>
      </c>
      <c r="AX46" s="288">
        <f t="shared" si="7"/>
        <v>0</v>
      </c>
      <c r="AY46" s="327">
        <f t="shared" si="8"/>
        <v>0</v>
      </c>
      <c r="AZ46" s="288">
        <f t="shared" si="4"/>
        <v>0</v>
      </c>
      <c r="BA46" s="288"/>
    </row>
    <row r="47" spans="1:53" s="246" customFormat="1" ht="15" x14ac:dyDescent="0.2">
      <c r="S47" s="387"/>
      <c r="AS47" s="288" t="str">
        <f t="shared" si="1"/>
        <v/>
      </c>
      <c r="AT47" s="326">
        <f t="shared" si="5"/>
        <v>0</v>
      </c>
      <c r="AU47" s="326"/>
      <c r="AV47" s="326">
        <f t="shared" si="2"/>
        <v>0</v>
      </c>
      <c r="AW47" s="326">
        <f t="shared" si="6"/>
        <v>0</v>
      </c>
      <c r="AX47" s="288">
        <f t="shared" si="7"/>
        <v>0</v>
      </c>
      <c r="AY47" s="327">
        <f t="shared" si="8"/>
        <v>0</v>
      </c>
      <c r="AZ47" s="288">
        <f t="shared" si="4"/>
        <v>0</v>
      </c>
      <c r="BA47" s="288"/>
    </row>
    <row r="48" spans="1:53" s="246" customFormat="1" ht="15" x14ac:dyDescent="0.2">
      <c r="AS48" s="288" t="str">
        <f t="shared" si="1"/>
        <v/>
      </c>
      <c r="AT48" s="326">
        <f t="shared" si="5"/>
        <v>0</v>
      </c>
      <c r="AU48" s="326"/>
      <c r="AV48" s="326">
        <f t="shared" si="2"/>
        <v>0</v>
      </c>
      <c r="AW48" s="326">
        <f t="shared" si="6"/>
        <v>0</v>
      </c>
      <c r="AX48" s="288">
        <f t="shared" si="7"/>
        <v>0</v>
      </c>
      <c r="AY48" s="327">
        <f t="shared" si="8"/>
        <v>0</v>
      </c>
      <c r="AZ48" s="288">
        <f t="shared" si="4"/>
        <v>0</v>
      </c>
      <c r="BA48" s="288"/>
    </row>
    <row r="49" spans="45:53" s="246" customFormat="1" ht="15" x14ac:dyDescent="0.2">
      <c r="AS49" s="288" t="str">
        <f t="shared" si="1"/>
        <v/>
      </c>
      <c r="AT49" s="326">
        <f t="shared" si="5"/>
        <v>0</v>
      </c>
      <c r="AU49" s="326"/>
      <c r="AV49" s="326">
        <f t="shared" si="2"/>
        <v>0</v>
      </c>
      <c r="AW49" s="326">
        <f t="shared" si="6"/>
        <v>0</v>
      </c>
      <c r="AX49" s="288">
        <f t="shared" si="7"/>
        <v>0</v>
      </c>
      <c r="AY49" s="327">
        <f t="shared" si="8"/>
        <v>0</v>
      </c>
      <c r="AZ49" s="288">
        <f t="shared" si="4"/>
        <v>0</v>
      </c>
      <c r="BA49" s="288"/>
    </row>
    <row r="50" spans="45:53" s="246" customFormat="1" ht="15" x14ac:dyDescent="0.2">
      <c r="AS50" s="288" t="str">
        <f t="shared" si="1"/>
        <v/>
      </c>
      <c r="AT50" s="326">
        <f t="shared" si="5"/>
        <v>0</v>
      </c>
      <c r="AU50" s="326"/>
      <c r="AV50" s="326">
        <f t="shared" si="2"/>
        <v>0</v>
      </c>
      <c r="AW50" s="326">
        <f t="shared" si="6"/>
        <v>0</v>
      </c>
      <c r="AX50" s="288">
        <f t="shared" si="7"/>
        <v>0</v>
      </c>
      <c r="AY50" s="327">
        <f t="shared" si="8"/>
        <v>0</v>
      </c>
      <c r="AZ50" s="288">
        <f t="shared" si="4"/>
        <v>0</v>
      </c>
      <c r="BA50" s="288"/>
    </row>
    <row r="51" spans="45:53" s="246" customFormat="1" ht="15" x14ac:dyDescent="0.2">
      <c r="AS51" s="288" t="str">
        <f t="shared" si="1"/>
        <v/>
      </c>
      <c r="AT51" s="326">
        <f t="shared" si="5"/>
        <v>0</v>
      </c>
      <c r="AU51" s="326"/>
      <c r="AV51" s="326">
        <f t="shared" si="2"/>
        <v>0</v>
      </c>
      <c r="AW51" s="326">
        <f t="shared" si="6"/>
        <v>0</v>
      </c>
      <c r="AX51" s="288">
        <f t="shared" si="7"/>
        <v>0</v>
      </c>
      <c r="AY51" s="327">
        <f t="shared" si="8"/>
        <v>0</v>
      </c>
      <c r="AZ51" s="288">
        <f t="shared" si="4"/>
        <v>0</v>
      </c>
      <c r="BA51" s="288"/>
    </row>
    <row r="52" spans="45:53" s="246" customFormat="1" ht="15" x14ac:dyDescent="0.2">
      <c r="AS52" s="288" t="str">
        <f t="shared" si="1"/>
        <v/>
      </c>
      <c r="AT52" s="326">
        <f t="shared" si="5"/>
        <v>0</v>
      </c>
      <c r="AU52" s="326"/>
      <c r="AV52" s="326">
        <f t="shared" si="2"/>
        <v>0</v>
      </c>
      <c r="AW52" s="326">
        <f t="shared" si="6"/>
        <v>0</v>
      </c>
      <c r="AX52" s="288">
        <f t="shared" si="7"/>
        <v>0</v>
      </c>
      <c r="AY52" s="327">
        <f t="shared" si="8"/>
        <v>0</v>
      </c>
      <c r="AZ52" s="288">
        <f t="shared" si="4"/>
        <v>0</v>
      </c>
      <c r="BA52" s="288"/>
    </row>
    <row r="53" spans="45:53" s="246" customFormat="1" ht="15" x14ac:dyDescent="0.2">
      <c r="AS53" s="288" t="str">
        <f t="shared" si="1"/>
        <v/>
      </c>
      <c r="AT53" s="326">
        <f t="shared" si="5"/>
        <v>0</v>
      </c>
      <c r="AU53" s="326"/>
      <c r="AV53" s="326">
        <f t="shared" si="2"/>
        <v>0</v>
      </c>
      <c r="AW53" s="326">
        <f t="shared" si="6"/>
        <v>0</v>
      </c>
      <c r="AX53" s="288">
        <f t="shared" si="7"/>
        <v>0</v>
      </c>
      <c r="AY53" s="327">
        <f t="shared" si="8"/>
        <v>0</v>
      </c>
      <c r="AZ53" s="288">
        <f t="shared" si="4"/>
        <v>0</v>
      </c>
      <c r="BA53" s="288"/>
    </row>
    <row r="54" spans="45:53" s="246" customFormat="1" ht="15" x14ac:dyDescent="0.2">
      <c r="AS54" s="288" t="str">
        <f t="shared" si="1"/>
        <v/>
      </c>
      <c r="AT54" s="326">
        <f t="shared" si="5"/>
        <v>0</v>
      </c>
      <c r="AU54" s="326"/>
      <c r="AV54" s="326">
        <f t="shared" si="2"/>
        <v>0</v>
      </c>
      <c r="AW54" s="326">
        <f t="shared" si="6"/>
        <v>0</v>
      </c>
      <c r="AX54" s="288">
        <f t="shared" si="7"/>
        <v>0</v>
      </c>
      <c r="AY54" s="327">
        <f t="shared" si="8"/>
        <v>0</v>
      </c>
      <c r="AZ54" s="288">
        <f t="shared" si="4"/>
        <v>0</v>
      </c>
      <c r="BA54" s="288"/>
    </row>
    <row r="55" spans="45:53" s="246" customFormat="1" ht="15" x14ac:dyDescent="0.2">
      <c r="AS55" s="288" t="str">
        <f t="shared" si="1"/>
        <v/>
      </c>
      <c r="AT55" s="326">
        <f t="shared" si="5"/>
        <v>0</v>
      </c>
      <c r="AU55" s="326"/>
      <c r="AV55" s="326">
        <f t="shared" si="2"/>
        <v>0</v>
      </c>
      <c r="AW55" s="326">
        <f t="shared" si="6"/>
        <v>0</v>
      </c>
      <c r="AX55" s="288">
        <f t="shared" si="7"/>
        <v>0</v>
      </c>
      <c r="AY55" s="327">
        <f t="shared" si="8"/>
        <v>0</v>
      </c>
      <c r="AZ55" s="288">
        <f t="shared" si="4"/>
        <v>0</v>
      </c>
      <c r="BA55" s="288"/>
    </row>
    <row r="56" spans="45:53" s="246" customFormat="1" ht="15" x14ac:dyDescent="0.2">
      <c r="AS56" s="288" t="str">
        <f t="shared" si="1"/>
        <v/>
      </c>
      <c r="AT56" s="326">
        <f t="shared" si="5"/>
        <v>0</v>
      </c>
      <c r="AU56" s="326"/>
      <c r="AV56" s="326">
        <f t="shared" si="2"/>
        <v>0</v>
      </c>
      <c r="AW56" s="326">
        <f t="shared" si="6"/>
        <v>0</v>
      </c>
      <c r="AX56" s="288">
        <f t="shared" si="7"/>
        <v>0</v>
      </c>
      <c r="AY56" s="327">
        <f t="shared" si="8"/>
        <v>0</v>
      </c>
      <c r="AZ56" s="288">
        <f t="shared" si="4"/>
        <v>0</v>
      </c>
      <c r="BA56" s="288"/>
    </row>
    <row r="57" spans="45:53" s="246" customFormat="1" ht="15" x14ac:dyDescent="0.2">
      <c r="AS57" s="288" t="str">
        <f t="shared" si="1"/>
        <v/>
      </c>
      <c r="AT57" s="326">
        <f t="shared" si="5"/>
        <v>0</v>
      </c>
      <c r="AU57" s="326"/>
      <c r="AV57" s="326">
        <f t="shared" si="2"/>
        <v>0</v>
      </c>
      <c r="AW57" s="326">
        <f t="shared" si="6"/>
        <v>0</v>
      </c>
      <c r="AX57" s="288">
        <f t="shared" si="7"/>
        <v>0</v>
      </c>
      <c r="AY57" s="327">
        <f t="shared" si="8"/>
        <v>0</v>
      </c>
      <c r="AZ57" s="288">
        <f t="shared" si="4"/>
        <v>0</v>
      </c>
      <c r="BA57" s="288"/>
    </row>
    <row r="58" spans="45:53" s="246" customFormat="1" ht="15" x14ac:dyDescent="0.2">
      <c r="AS58" s="288" t="str">
        <f t="shared" si="1"/>
        <v/>
      </c>
      <c r="AT58" s="326">
        <f t="shared" si="5"/>
        <v>0</v>
      </c>
      <c r="AU58" s="326"/>
      <c r="AV58" s="326">
        <f t="shared" si="2"/>
        <v>0</v>
      </c>
      <c r="AW58" s="326">
        <f t="shared" si="6"/>
        <v>0</v>
      </c>
      <c r="AX58" s="288">
        <f t="shared" si="7"/>
        <v>0</v>
      </c>
      <c r="AY58" s="327">
        <f t="shared" si="8"/>
        <v>0</v>
      </c>
      <c r="AZ58" s="288">
        <f t="shared" si="4"/>
        <v>0</v>
      </c>
      <c r="BA58" s="288"/>
    </row>
    <row r="59" spans="45:53" s="246" customFormat="1" ht="15" x14ac:dyDescent="0.2">
      <c r="AS59" s="288" t="str">
        <f t="shared" si="1"/>
        <v/>
      </c>
      <c r="AT59" s="326">
        <f t="shared" si="5"/>
        <v>0</v>
      </c>
      <c r="AU59" s="326"/>
      <c r="AV59" s="326">
        <f t="shared" si="2"/>
        <v>0</v>
      </c>
      <c r="AW59" s="326">
        <f t="shared" si="6"/>
        <v>0</v>
      </c>
      <c r="AX59" s="288">
        <f t="shared" si="7"/>
        <v>0</v>
      </c>
      <c r="AY59" s="327">
        <f t="shared" si="8"/>
        <v>0</v>
      </c>
      <c r="AZ59" s="288">
        <f t="shared" si="4"/>
        <v>0</v>
      </c>
      <c r="BA59" s="288"/>
    </row>
    <row r="60" spans="45:53" s="246" customFormat="1" ht="15" x14ac:dyDescent="0.2">
      <c r="AS60" s="288" t="str">
        <f t="shared" si="1"/>
        <v/>
      </c>
      <c r="AT60" s="326">
        <f t="shared" si="5"/>
        <v>0</v>
      </c>
      <c r="AU60" s="326"/>
      <c r="AV60" s="326">
        <f t="shared" si="2"/>
        <v>0</v>
      </c>
      <c r="AW60" s="326">
        <f t="shared" si="6"/>
        <v>0</v>
      </c>
      <c r="AX60" s="288">
        <f t="shared" si="7"/>
        <v>0</v>
      </c>
      <c r="AY60" s="327">
        <f t="shared" si="8"/>
        <v>0</v>
      </c>
      <c r="AZ60" s="288">
        <f t="shared" si="4"/>
        <v>0</v>
      </c>
      <c r="BA60" s="288"/>
    </row>
    <row r="61" spans="45:53" s="246" customFormat="1" ht="15" x14ac:dyDescent="0.2">
      <c r="AS61" s="288" t="str">
        <f t="shared" si="1"/>
        <v/>
      </c>
      <c r="AT61" s="326">
        <f t="shared" si="5"/>
        <v>0</v>
      </c>
      <c r="AU61" s="326"/>
      <c r="AV61" s="326">
        <f t="shared" si="2"/>
        <v>0</v>
      </c>
      <c r="AW61" s="326">
        <f t="shared" si="6"/>
        <v>0</v>
      </c>
      <c r="AX61" s="288">
        <f t="shared" si="7"/>
        <v>0</v>
      </c>
      <c r="AY61" s="327">
        <f t="shared" si="8"/>
        <v>0</v>
      </c>
      <c r="AZ61" s="288">
        <f t="shared" si="4"/>
        <v>0</v>
      </c>
      <c r="BA61" s="288"/>
    </row>
    <row r="62" spans="45:53" s="246" customFormat="1" ht="15" x14ac:dyDescent="0.2">
      <c r="AS62" s="288" t="str">
        <f t="shared" si="1"/>
        <v/>
      </c>
      <c r="AT62" s="326">
        <f t="shared" si="5"/>
        <v>0</v>
      </c>
      <c r="AU62" s="326"/>
      <c r="AV62" s="326">
        <f t="shared" si="2"/>
        <v>0</v>
      </c>
      <c r="AW62" s="326">
        <f t="shared" si="6"/>
        <v>0</v>
      </c>
      <c r="AX62" s="288">
        <f t="shared" si="7"/>
        <v>0</v>
      </c>
      <c r="AY62" s="327">
        <f t="shared" si="8"/>
        <v>0</v>
      </c>
      <c r="AZ62" s="288">
        <f t="shared" si="4"/>
        <v>0</v>
      </c>
      <c r="BA62" s="288"/>
    </row>
    <row r="63" spans="45:53" s="246" customFormat="1" ht="15" x14ac:dyDescent="0.2">
      <c r="AS63" s="288" t="str">
        <f t="shared" si="1"/>
        <v/>
      </c>
      <c r="AT63" s="326">
        <f t="shared" si="5"/>
        <v>0</v>
      </c>
      <c r="AU63" s="326"/>
      <c r="AV63" s="326">
        <f t="shared" si="2"/>
        <v>0</v>
      </c>
      <c r="AW63" s="326">
        <f t="shared" si="6"/>
        <v>0</v>
      </c>
      <c r="AX63" s="288">
        <f t="shared" si="7"/>
        <v>0</v>
      </c>
      <c r="AY63" s="327">
        <f t="shared" si="8"/>
        <v>0</v>
      </c>
      <c r="AZ63" s="288">
        <f t="shared" si="4"/>
        <v>0</v>
      </c>
      <c r="BA63" s="288"/>
    </row>
    <row r="64" spans="45:53" s="246" customFormat="1" ht="15" x14ac:dyDescent="0.2">
      <c r="AS64" s="288" t="str">
        <f t="shared" si="1"/>
        <v/>
      </c>
      <c r="AT64" s="326">
        <f t="shared" si="5"/>
        <v>0</v>
      </c>
      <c r="AU64" s="326"/>
      <c r="AV64" s="326">
        <f t="shared" si="2"/>
        <v>0</v>
      </c>
      <c r="AW64" s="326">
        <f t="shared" si="6"/>
        <v>0</v>
      </c>
      <c r="AX64" s="288">
        <f t="shared" si="7"/>
        <v>0</v>
      </c>
      <c r="AY64" s="327">
        <f t="shared" si="8"/>
        <v>0</v>
      </c>
      <c r="AZ64" s="288">
        <f t="shared" si="4"/>
        <v>0</v>
      </c>
      <c r="BA64" s="288"/>
    </row>
    <row r="65" spans="45:53" s="246" customFormat="1" ht="15" x14ac:dyDescent="0.2">
      <c r="AS65" s="288" t="str">
        <f t="shared" si="1"/>
        <v/>
      </c>
      <c r="AT65" s="326">
        <f t="shared" si="5"/>
        <v>0</v>
      </c>
      <c r="AU65" s="326"/>
      <c r="AV65" s="326">
        <f t="shared" si="2"/>
        <v>0</v>
      </c>
      <c r="AW65" s="326">
        <f t="shared" si="6"/>
        <v>0</v>
      </c>
      <c r="AX65" s="288">
        <f t="shared" si="7"/>
        <v>0</v>
      </c>
      <c r="AY65" s="327">
        <f t="shared" si="8"/>
        <v>0</v>
      </c>
      <c r="AZ65" s="288">
        <f t="shared" si="4"/>
        <v>0</v>
      </c>
      <c r="BA65" s="288"/>
    </row>
    <row r="66" spans="45:53" s="246" customFormat="1" ht="15" x14ac:dyDescent="0.2">
      <c r="AS66" s="288" t="str">
        <f t="shared" si="1"/>
        <v/>
      </c>
      <c r="AT66" s="326">
        <f t="shared" si="5"/>
        <v>0</v>
      </c>
      <c r="AU66" s="326"/>
      <c r="AV66" s="326">
        <f t="shared" si="2"/>
        <v>0</v>
      </c>
      <c r="AW66" s="326">
        <f t="shared" si="6"/>
        <v>0</v>
      </c>
      <c r="AX66" s="288">
        <f t="shared" si="7"/>
        <v>0</v>
      </c>
      <c r="AY66" s="327">
        <f t="shared" si="8"/>
        <v>0</v>
      </c>
      <c r="AZ66" s="288">
        <f t="shared" si="4"/>
        <v>0</v>
      </c>
      <c r="BA66" s="288"/>
    </row>
    <row r="67" spans="45:53" s="246" customFormat="1" ht="15" x14ac:dyDescent="0.2">
      <c r="AS67" s="288" t="str">
        <f t="shared" si="1"/>
        <v/>
      </c>
      <c r="AT67" s="326">
        <f t="shared" si="5"/>
        <v>0</v>
      </c>
      <c r="AU67" s="326"/>
      <c r="AV67" s="326">
        <f t="shared" si="2"/>
        <v>0</v>
      </c>
      <c r="AW67" s="326">
        <f t="shared" si="6"/>
        <v>0</v>
      </c>
      <c r="AX67" s="288">
        <f t="shared" si="7"/>
        <v>0</v>
      </c>
      <c r="AY67" s="327">
        <f t="shared" si="8"/>
        <v>0</v>
      </c>
      <c r="AZ67" s="288">
        <f t="shared" si="4"/>
        <v>0</v>
      </c>
      <c r="BA67" s="288"/>
    </row>
    <row r="68" spans="45:53" s="246" customFormat="1" ht="15" x14ac:dyDescent="0.2">
      <c r="AS68" s="288" t="str">
        <f t="shared" si="1"/>
        <v/>
      </c>
      <c r="AT68" s="326">
        <f t="shared" si="5"/>
        <v>0</v>
      </c>
      <c r="AU68" s="326"/>
      <c r="AV68" s="326">
        <f t="shared" si="2"/>
        <v>0</v>
      </c>
      <c r="AW68" s="326">
        <f t="shared" si="6"/>
        <v>0</v>
      </c>
      <c r="AX68" s="288">
        <f t="shared" si="7"/>
        <v>0</v>
      </c>
      <c r="AY68" s="327">
        <f t="shared" si="8"/>
        <v>0</v>
      </c>
      <c r="AZ68" s="288">
        <f t="shared" si="4"/>
        <v>0</v>
      </c>
      <c r="BA68" s="288"/>
    </row>
    <row r="69" spans="45:53" s="246" customFormat="1" ht="15" x14ac:dyDescent="0.2">
      <c r="AS69" s="288" t="str">
        <f t="shared" ref="AS69:AS114" si="9">IF(AS68&lt;$D$14,AS68+1,"")</f>
        <v/>
      </c>
      <c r="AT69" s="326">
        <f t="shared" si="5"/>
        <v>0</v>
      </c>
      <c r="AU69" s="326"/>
      <c r="AV69" s="326">
        <f t="shared" si="2"/>
        <v>0</v>
      </c>
      <c r="AW69" s="326">
        <f t="shared" si="6"/>
        <v>0</v>
      </c>
      <c r="AX69" s="288">
        <f t="shared" si="7"/>
        <v>0</v>
      </c>
      <c r="AY69" s="327">
        <f t="shared" si="8"/>
        <v>0</v>
      </c>
      <c r="AZ69" s="288">
        <f t="shared" si="4"/>
        <v>0</v>
      </c>
      <c r="BA69" s="288"/>
    </row>
    <row r="70" spans="45:53" s="246" customFormat="1" ht="15" x14ac:dyDescent="0.2">
      <c r="AS70" s="288" t="str">
        <f t="shared" si="9"/>
        <v/>
      </c>
      <c r="AT70" s="326">
        <f t="shared" si="5"/>
        <v>0</v>
      </c>
      <c r="AU70" s="326"/>
      <c r="AV70" s="326">
        <f t="shared" si="2"/>
        <v>0</v>
      </c>
      <c r="AW70" s="326">
        <f t="shared" si="6"/>
        <v>0</v>
      </c>
      <c r="AX70" s="288">
        <f t="shared" si="7"/>
        <v>0</v>
      </c>
      <c r="AY70" s="327">
        <f t="shared" si="8"/>
        <v>0</v>
      </c>
      <c r="AZ70" s="288">
        <f t="shared" si="4"/>
        <v>0</v>
      </c>
      <c r="BA70" s="288"/>
    </row>
    <row r="71" spans="45:53" s="246" customFormat="1" ht="15" x14ac:dyDescent="0.2">
      <c r="AS71" s="288" t="str">
        <f t="shared" si="9"/>
        <v/>
      </c>
      <c r="AT71" s="326">
        <f t="shared" si="5"/>
        <v>0</v>
      </c>
      <c r="AU71" s="326"/>
      <c r="AV71" s="326">
        <f t="shared" si="2"/>
        <v>0</v>
      </c>
      <c r="AW71" s="326">
        <f t="shared" si="6"/>
        <v>0</v>
      </c>
      <c r="AX71" s="288">
        <f t="shared" si="7"/>
        <v>0</v>
      </c>
      <c r="AY71" s="327">
        <f t="shared" si="8"/>
        <v>0</v>
      </c>
      <c r="AZ71" s="288">
        <f t="shared" si="4"/>
        <v>0</v>
      </c>
      <c r="BA71" s="288"/>
    </row>
    <row r="72" spans="45:53" s="246" customFormat="1" ht="15" x14ac:dyDescent="0.2">
      <c r="AS72" s="288" t="str">
        <f t="shared" si="9"/>
        <v/>
      </c>
      <c r="AT72" s="326">
        <f t="shared" si="5"/>
        <v>0</v>
      </c>
      <c r="AU72" s="326"/>
      <c r="AV72" s="326">
        <f t="shared" ref="AV72:AV114" si="10">$D$10*AT72</f>
        <v>0</v>
      </c>
      <c r="AW72" s="326">
        <f t="shared" si="6"/>
        <v>0</v>
      </c>
      <c r="AX72" s="288">
        <f t="shared" si="7"/>
        <v>0</v>
      </c>
      <c r="AY72" s="327">
        <f t="shared" si="8"/>
        <v>0</v>
      </c>
      <c r="AZ72" s="288">
        <f t="shared" ref="AZ72:AZ114" si="11">IF(ISNUMBER(AS72),AY72/(1+$D$7)^AS72,0)</f>
        <v>0</v>
      </c>
      <c r="BA72" s="288"/>
    </row>
    <row r="73" spans="45:53" s="246" customFormat="1" ht="15" x14ac:dyDescent="0.2">
      <c r="AS73" s="288" t="str">
        <f t="shared" si="9"/>
        <v/>
      </c>
      <c r="AT73" s="326">
        <f t="shared" ref="AT73:AT114" si="12">IF(ISNUMBER(AS73),AW72,0)</f>
        <v>0</v>
      </c>
      <c r="AU73" s="326"/>
      <c r="AV73" s="326">
        <f t="shared" si="10"/>
        <v>0</v>
      </c>
      <c r="AW73" s="326">
        <f t="shared" ref="AW73:AW114" si="13">AT73</f>
        <v>0</v>
      </c>
      <c r="AX73" s="288">
        <f t="shared" si="7"/>
        <v>0</v>
      </c>
      <c r="AY73" s="327">
        <f t="shared" si="8"/>
        <v>0</v>
      </c>
      <c r="AZ73" s="288">
        <f t="shared" si="11"/>
        <v>0</v>
      </c>
      <c r="BA73" s="288"/>
    </row>
    <row r="74" spans="45:53" s="246" customFormat="1" ht="15" x14ac:dyDescent="0.2">
      <c r="AS74" s="288" t="str">
        <f t="shared" si="9"/>
        <v/>
      </c>
      <c r="AT74" s="326">
        <f t="shared" si="12"/>
        <v>0</v>
      </c>
      <c r="AU74" s="326"/>
      <c r="AV74" s="326">
        <f t="shared" si="10"/>
        <v>0</v>
      </c>
      <c r="AW74" s="326">
        <f t="shared" si="13"/>
        <v>0</v>
      </c>
      <c r="AX74" s="288">
        <f t="shared" si="7"/>
        <v>0</v>
      </c>
      <c r="AY74" s="327">
        <f t="shared" si="8"/>
        <v>0</v>
      </c>
      <c r="AZ74" s="288">
        <f t="shared" si="11"/>
        <v>0</v>
      </c>
      <c r="BA74" s="288"/>
    </row>
    <row r="75" spans="45:53" s="246" customFormat="1" ht="15" x14ac:dyDescent="0.2">
      <c r="AS75" s="288" t="str">
        <f t="shared" si="9"/>
        <v/>
      </c>
      <c r="AT75" s="326">
        <f t="shared" si="12"/>
        <v>0</v>
      </c>
      <c r="AU75" s="326"/>
      <c r="AV75" s="326">
        <f t="shared" si="10"/>
        <v>0</v>
      </c>
      <c r="AW75" s="326">
        <f t="shared" si="13"/>
        <v>0</v>
      </c>
      <c r="AX75" s="288">
        <f t="shared" si="7"/>
        <v>0</v>
      </c>
      <c r="AY75" s="327">
        <f t="shared" si="8"/>
        <v>0</v>
      </c>
      <c r="AZ75" s="288">
        <f t="shared" si="11"/>
        <v>0</v>
      </c>
      <c r="BA75" s="288"/>
    </row>
    <row r="76" spans="45:53" s="246" customFormat="1" ht="15" x14ac:dyDescent="0.2">
      <c r="AS76" s="288" t="str">
        <f t="shared" si="9"/>
        <v/>
      </c>
      <c r="AT76" s="326">
        <f t="shared" si="12"/>
        <v>0</v>
      </c>
      <c r="AU76" s="326"/>
      <c r="AV76" s="326">
        <f t="shared" si="10"/>
        <v>0</v>
      </c>
      <c r="AW76" s="326">
        <f t="shared" si="13"/>
        <v>0</v>
      </c>
      <c r="AX76" s="288">
        <f t="shared" si="7"/>
        <v>0</v>
      </c>
      <c r="AY76" s="327">
        <f t="shared" si="8"/>
        <v>0</v>
      </c>
      <c r="AZ76" s="288">
        <f t="shared" si="11"/>
        <v>0</v>
      </c>
      <c r="BA76" s="288"/>
    </row>
    <row r="77" spans="45:53" s="246" customFormat="1" ht="15" x14ac:dyDescent="0.2">
      <c r="AS77" s="288" t="str">
        <f t="shared" si="9"/>
        <v/>
      </c>
      <c r="AT77" s="326">
        <f t="shared" si="12"/>
        <v>0</v>
      </c>
      <c r="AU77" s="326"/>
      <c r="AV77" s="326">
        <f t="shared" si="10"/>
        <v>0</v>
      </c>
      <c r="AW77" s="326">
        <f t="shared" si="13"/>
        <v>0</v>
      </c>
      <c r="AX77" s="288">
        <f t="shared" si="7"/>
        <v>0</v>
      </c>
      <c r="AY77" s="327">
        <f t="shared" si="8"/>
        <v>0</v>
      </c>
      <c r="AZ77" s="288">
        <f t="shared" si="11"/>
        <v>0</v>
      </c>
      <c r="BA77" s="288"/>
    </row>
    <row r="78" spans="45:53" s="246" customFormat="1" ht="15" x14ac:dyDescent="0.2">
      <c r="AS78" s="288" t="str">
        <f t="shared" si="9"/>
        <v/>
      </c>
      <c r="AT78" s="326">
        <f t="shared" si="12"/>
        <v>0</v>
      </c>
      <c r="AU78" s="326"/>
      <c r="AV78" s="326">
        <f t="shared" si="10"/>
        <v>0</v>
      </c>
      <c r="AW78" s="326">
        <f t="shared" si="13"/>
        <v>0</v>
      </c>
      <c r="AX78" s="288">
        <f t="shared" si="7"/>
        <v>0</v>
      </c>
      <c r="AY78" s="327">
        <f t="shared" si="8"/>
        <v>0</v>
      </c>
      <c r="AZ78" s="288">
        <f t="shared" si="11"/>
        <v>0</v>
      </c>
      <c r="BA78" s="288"/>
    </row>
    <row r="79" spans="45:53" s="246" customFormat="1" ht="15" x14ac:dyDescent="0.2">
      <c r="AS79" s="288" t="str">
        <f t="shared" si="9"/>
        <v/>
      </c>
      <c r="AT79" s="326">
        <f t="shared" si="12"/>
        <v>0</v>
      </c>
      <c r="AU79" s="326"/>
      <c r="AV79" s="326">
        <f t="shared" si="10"/>
        <v>0</v>
      </c>
      <c r="AW79" s="326">
        <f t="shared" si="13"/>
        <v>0</v>
      </c>
      <c r="AX79" s="288">
        <f t="shared" si="7"/>
        <v>0</v>
      </c>
      <c r="AY79" s="327">
        <f t="shared" si="8"/>
        <v>0</v>
      </c>
      <c r="AZ79" s="288">
        <f t="shared" si="11"/>
        <v>0</v>
      </c>
      <c r="BA79" s="288"/>
    </row>
    <row r="80" spans="45:53" s="246" customFormat="1" ht="15" x14ac:dyDescent="0.2">
      <c r="AS80" s="288" t="str">
        <f t="shared" si="9"/>
        <v/>
      </c>
      <c r="AT80" s="326">
        <f t="shared" si="12"/>
        <v>0</v>
      </c>
      <c r="AU80" s="326"/>
      <c r="AV80" s="326">
        <f t="shared" si="10"/>
        <v>0</v>
      </c>
      <c r="AW80" s="326">
        <f t="shared" si="13"/>
        <v>0</v>
      </c>
      <c r="AX80" s="288">
        <f t="shared" si="7"/>
        <v>0</v>
      </c>
      <c r="AY80" s="327">
        <f t="shared" si="8"/>
        <v>0</v>
      </c>
      <c r="AZ80" s="288">
        <f t="shared" si="11"/>
        <v>0</v>
      </c>
      <c r="BA80" s="288"/>
    </row>
    <row r="81" spans="45:53" s="246" customFormat="1" ht="15" x14ac:dyDescent="0.2">
      <c r="AS81" s="288" t="str">
        <f t="shared" si="9"/>
        <v/>
      </c>
      <c r="AT81" s="326">
        <f t="shared" si="12"/>
        <v>0</v>
      </c>
      <c r="AU81" s="326"/>
      <c r="AV81" s="326">
        <f t="shared" si="10"/>
        <v>0</v>
      </c>
      <c r="AW81" s="326">
        <f t="shared" si="13"/>
        <v>0</v>
      </c>
      <c r="AX81" s="288">
        <f t="shared" si="7"/>
        <v>0</v>
      </c>
      <c r="AY81" s="327">
        <f t="shared" si="8"/>
        <v>0</v>
      </c>
      <c r="AZ81" s="288">
        <f t="shared" si="11"/>
        <v>0</v>
      </c>
      <c r="BA81" s="288"/>
    </row>
    <row r="82" spans="45:53" s="246" customFormat="1" ht="15" x14ac:dyDescent="0.2">
      <c r="AS82" s="288" t="str">
        <f t="shared" si="9"/>
        <v/>
      </c>
      <c r="AT82" s="326">
        <f t="shared" si="12"/>
        <v>0</v>
      </c>
      <c r="AU82" s="326"/>
      <c r="AV82" s="326">
        <f t="shared" si="10"/>
        <v>0</v>
      </c>
      <c r="AW82" s="326">
        <f t="shared" si="13"/>
        <v>0</v>
      </c>
      <c r="AX82" s="288">
        <f t="shared" ref="AX82:AX114" si="14">IF(ISNUMBER(AS83),SUM(AU82:AV82),SUM(AU82:AW82))</f>
        <v>0</v>
      </c>
      <c r="AY82" s="327">
        <f t="shared" si="8"/>
        <v>0</v>
      </c>
      <c r="AZ82" s="288">
        <f t="shared" si="11"/>
        <v>0</v>
      </c>
      <c r="BA82" s="288"/>
    </row>
    <row r="83" spans="45:53" s="246" customFormat="1" ht="15" x14ac:dyDescent="0.2">
      <c r="AS83" s="288" t="str">
        <f t="shared" si="9"/>
        <v/>
      </c>
      <c r="AT83" s="326">
        <f t="shared" si="12"/>
        <v>0</v>
      </c>
      <c r="AU83" s="326"/>
      <c r="AV83" s="326">
        <f t="shared" si="10"/>
        <v>0</v>
      </c>
      <c r="AW83" s="326">
        <f t="shared" si="13"/>
        <v>0</v>
      </c>
      <c r="AX83" s="288">
        <f t="shared" si="14"/>
        <v>0</v>
      </c>
      <c r="AY83" s="327">
        <f t="shared" si="8"/>
        <v>0</v>
      </c>
      <c r="AZ83" s="288">
        <f t="shared" si="11"/>
        <v>0</v>
      </c>
      <c r="BA83" s="288"/>
    </row>
    <row r="84" spans="45:53" s="246" customFormat="1" ht="15" x14ac:dyDescent="0.2">
      <c r="AS84" s="288" t="str">
        <f t="shared" si="9"/>
        <v/>
      </c>
      <c r="AT84" s="326">
        <f t="shared" si="12"/>
        <v>0</v>
      </c>
      <c r="AU84" s="326"/>
      <c r="AV84" s="326">
        <f t="shared" si="10"/>
        <v>0</v>
      </c>
      <c r="AW84" s="326">
        <f t="shared" si="13"/>
        <v>0</v>
      </c>
      <c r="AX84" s="288">
        <f t="shared" si="14"/>
        <v>0</v>
      </c>
      <c r="AY84" s="327">
        <f t="shared" si="8"/>
        <v>0</v>
      </c>
      <c r="AZ84" s="288">
        <f t="shared" si="11"/>
        <v>0</v>
      </c>
      <c r="BA84" s="288"/>
    </row>
    <row r="85" spans="45:53" s="246" customFormat="1" ht="15" x14ac:dyDescent="0.2">
      <c r="AS85" s="288" t="str">
        <f t="shared" si="9"/>
        <v/>
      </c>
      <c r="AT85" s="326">
        <f t="shared" si="12"/>
        <v>0</v>
      </c>
      <c r="AU85" s="326"/>
      <c r="AV85" s="326">
        <f t="shared" si="10"/>
        <v>0</v>
      </c>
      <c r="AW85" s="326">
        <f t="shared" si="13"/>
        <v>0</v>
      </c>
      <c r="AX85" s="288">
        <f t="shared" si="14"/>
        <v>0</v>
      </c>
      <c r="AY85" s="327">
        <f t="shared" si="8"/>
        <v>0</v>
      </c>
      <c r="AZ85" s="288">
        <f t="shared" si="11"/>
        <v>0</v>
      </c>
      <c r="BA85" s="288"/>
    </row>
    <row r="86" spans="45:53" s="246" customFormat="1" ht="15" x14ac:dyDescent="0.2">
      <c r="AS86" s="288" t="str">
        <f t="shared" si="9"/>
        <v/>
      </c>
      <c r="AT86" s="326">
        <f t="shared" si="12"/>
        <v>0</v>
      </c>
      <c r="AU86" s="326"/>
      <c r="AV86" s="326">
        <f t="shared" si="10"/>
        <v>0</v>
      </c>
      <c r="AW86" s="326">
        <f t="shared" si="13"/>
        <v>0</v>
      </c>
      <c r="AX86" s="288">
        <f t="shared" si="14"/>
        <v>0</v>
      </c>
      <c r="AY86" s="327">
        <f t="shared" si="8"/>
        <v>0</v>
      </c>
      <c r="AZ86" s="288">
        <f t="shared" si="11"/>
        <v>0</v>
      </c>
      <c r="BA86" s="288"/>
    </row>
    <row r="87" spans="45:53" s="246" customFormat="1" ht="15" x14ac:dyDescent="0.2">
      <c r="AS87" s="288" t="str">
        <f t="shared" si="9"/>
        <v/>
      </c>
      <c r="AT87" s="326">
        <f t="shared" si="12"/>
        <v>0</v>
      </c>
      <c r="AU87" s="326"/>
      <c r="AV87" s="326">
        <f t="shared" si="10"/>
        <v>0</v>
      </c>
      <c r="AW87" s="326">
        <f t="shared" si="13"/>
        <v>0</v>
      </c>
      <c r="AX87" s="288">
        <f t="shared" si="14"/>
        <v>0</v>
      </c>
      <c r="AY87" s="327">
        <f t="shared" si="8"/>
        <v>0</v>
      </c>
      <c r="AZ87" s="288">
        <f t="shared" si="11"/>
        <v>0</v>
      </c>
      <c r="BA87" s="288"/>
    </row>
    <row r="88" spans="45:53" s="246" customFormat="1" ht="15" x14ac:dyDescent="0.2">
      <c r="AS88" s="288" t="str">
        <f t="shared" si="9"/>
        <v/>
      </c>
      <c r="AT88" s="326">
        <f t="shared" si="12"/>
        <v>0</v>
      </c>
      <c r="AU88" s="326"/>
      <c r="AV88" s="326">
        <f t="shared" si="10"/>
        <v>0</v>
      </c>
      <c r="AW88" s="326">
        <f t="shared" si="13"/>
        <v>0</v>
      </c>
      <c r="AX88" s="288">
        <f t="shared" si="14"/>
        <v>0</v>
      </c>
      <c r="AY88" s="327">
        <f t="shared" si="8"/>
        <v>0</v>
      </c>
      <c r="AZ88" s="288">
        <f t="shared" si="11"/>
        <v>0</v>
      </c>
      <c r="BA88" s="288"/>
    </row>
    <row r="89" spans="45:53" s="246" customFormat="1" ht="15" x14ac:dyDescent="0.2">
      <c r="AS89" s="288" t="str">
        <f t="shared" si="9"/>
        <v/>
      </c>
      <c r="AT89" s="326">
        <f t="shared" si="12"/>
        <v>0</v>
      </c>
      <c r="AU89" s="326"/>
      <c r="AV89" s="326">
        <f t="shared" si="10"/>
        <v>0</v>
      </c>
      <c r="AW89" s="326">
        <f t="shared" si="13"/>
        <v>0</v>
      </c>
      <c r="AX89" s="288">
        <f t="shared" si="14"/>
        <v>0</v>
      </c>
      <c r="AY89" s="327">
        <f t="shared" si="8"/>
        <v>0</v>
      </c>
      <c r="AZ89" s="288">
        <f t="shared" si="11"/>
        <v>0</v>
      </c>
      <c r="BA89" s="288"/>
    </row>
    <row r="90" spans="45:53" s="246" customFormat="1" ht="15" x14ac:dyDescent="0.2">
      <c r="AS90" s="288" t="str">
        <f t="shared" si="9"/>
        <v/>
      </c>
      <c r="AT90" s="326">
        <f t="shared" si="12"/>
        <v>0</v>
      </c>
      <c r="AU90" s="326"/>
      <c r="AV90" s="326">
        <f t="shared" si="10"/>
        <v>0</v>
      </c>
      <c r="AW90" s="326">
        <f t="shared" si="13"/>
        <v>0</v>
      </c>
      <c r="AX90" s="288">
        <f t="shared" si="14"/>
        <v>0</v>
      </c>
      <c r="AY90" s="327">
        <f t="shared" si="8"/>
        <v>0</v>
      </c>
      <c r="AZ90" s="288">
        <f t="shared" si="11"/>
        <v>0</v>
      </c>
      <c r="BA90" s="288"/>
    </row>
    <row r="91" spans="45:53" s="246" customFormat="1" ht="15" x14ac:dyDescent="0.2">
      <c r="AS91" s="288" t="str">
        <f t="shared" si="9"/>
        <v/>
      </c>
      <c r="AT91" s="326">
        <f t="shared" si="12"/>
        <v>0</v>
      </c>
      <c r="AU91" s="326"/>
      <c r="AV91" s="326">
        <f t="shared" si="10"/>
        <v>0</v>
      </c>
      <c r="AW91" s="326">
        <f t="shared" si="13"/>
        <v>0</v>
      </c>
      <c r="AX91" s="288">
        <f t="shared" si="14"/>
        <v>0</v>
      </c>
      <c r="AY91" s="327">
        <f t="shared" si="8"/>
        <v>0</v>
      </c>
      <c r="AZ91" s="288">
        <f t="shared" si="11"/>
        <v>0</v>
      </c>
      <c r="BA91" s="288"/>
    </row>
    <row r="92" spans="45:53" s="246" customFormat="1" ht="15" x14ac:dyDescent="0.2">
      <c r="AS92" s="288" t="str">
        <f t="shared" si="9"/>
        <v/>
      </c>
      <c r="AT92" s="326">
        <f t="shared" si="12"/>
        <v>0</v>
      </c>
      <c r="AU92" s="326"/>
      <c r="AV92" s="326">
        <f t="shared" si="10"/>
        <v>0</v>
      </c>
      <c r="AW92" s="326">
        <f t="shared" si="13"/>
        <v>0</v>
      </c>
      <c r="AX92" s="288">
        <f t="shared" si="14"/>
        <v>0</v>
      </c>
      <c r="AY92" s="327">
        <f t="shared" si="8"/>
        <v>0</v>
      </c>
      <c r="AZ92" s="288">
        <f t="shared" si="11"/>
        <v>0</v>
      </c>
      <c r="BA92" s="288"/>
    </row>
    <row r="93" spans="45:53" s="246" customFormat="1" ht="15" x14ac:dyDescent="0.2">
      <c r="AS93" s="288" t="str">
        <f t="shared" si="9"/>
        <v/>
      </c>
      <c r="AT93" s="326">
        <f t="shared" si="12"/>
        <v>0</v>
      </c>
      <c r="AU93" s="326"/>
      <c r="AV93" s="326">
        <f t="shared" si="10"/>
        <v>0</v>
      </c>
      <c r="AW93" s="326">
        <f t="shared" si="13"/>
        <v>0</v>
      </c>
      <c r="AX93" s="288">
        <f t="shared" si="14"/>
        <v>0</v>
      </c>
      <c r="AY93" s="327">
        <f t="shared" si="8"/>
        <v>0</v>
      </c>
      <c r="AZ93" s="288">
        <f t="shared" si="11"/>
        <v>0</v>
      </c>
      <c r="BA93" s="288"/>
    </row>
    <row r="94" spans="45:53" s="246" customFormat="1" ht="15" x14ac:dyDescent="0.2">
      <c r="AS94" s="288" t="str">
        <f t="shared" si="9"/>
        <v/>
      </c>
      <c r="AT94" s="326">
        <f t="shared" si="12"/>
        <v>0</v>
      </c>
      <c r="AU94" s="326"/>
      <c r="AV94" s="326">
        <f t="shared" si="10"/>
        <v>0</v>
      </c>
      <c r="AW94" s="326">
        <f t="shared" si="13"/>
        <v>0</v>
      </c>
      <c r="AX94" s="288">
        <f t="shared" si="14"/>
        <v>0</v>
      </c>
      <c r="AY94" s="327">
        <f t="shared" si="8"/>
        <v>0</v>
      </c>
      <c r="AZ94" s="288">
        <f t="shared" si="11"/>
        <v>0</v>
      </c>
      <c r="BA94" s="288"/>
    </row>
    <row r="95" spans="45:53" s="246" customFormat="1" ht="15" x14ac:dyDescent="0.2">
      <c r="AS95" s="288" t="str">
        <f t="shared" si="9"/>
        <v/>
      </c>
      <c r="AT95" s="326">
        <f t="shared" si="12"/>
        <v>0</v>
      </c>
      <c r="AU95" s="326"/>
      <c r="AV95" s="326">
        <f t="shared" si="10"/>
        <v>0</v>
      </c>
      <c r="AW95" s="326">
        <f t="shared" si="13"/>
        <v>0</v>
      </c>
      <c r="AX95" s="288">
        <f t="shared" si="14"/>
        <v>0</v>
      </c>
      <c r="AY95" s="327">
        <f t="shared" si="8"/>
        <v>0</v>
      </c>
      <c r="AZ95" s="288">
        <f t="shared" si="11"/>
        <v>0</v>
      </c>
      <c r="BA95" s="288"/>
    </row>
    <row r="96" spans="45:53" s="246" customFormat="1" ht="15" x14ac:dyDescent="0.2">
      <c r="AS96" s="288" t="str">
        <f t="shared" si="9"/>
        <v/>
      </c>
      <c r="AT96" s="326">
        <f t="shared" si="12"/>
        <v>0</v>
      </c>
      <c r="AU96" s="326"/>
      <c r="AV96" s="326">
        <f t="shared" si="10"/>
        <v>0</v>
      </c>
      <c r="AW96" s="326">
        <f t="shared" si="13"/>
        <v>0</v>
      </c>
      <c r="AX96" s="288">
        <f t="shared" si="14"/>
        <v>0</v>
      </c>
      <c r="AY96" s="327">
        <f t="shared" si="8"/>
        <v>0</v>
      </c>
      <c r="AZ96" s="288">
        <f t="shared" si="11"/>
        <v>0</v>
      </c>
      <c r="BA96" s="288"/>
    </row>
    <row r="97" spans="45:53" s="246" customFormat="1" ht="15" x14ac:dyDescent="0.2">
      <c r="AS97" s="288" t="str">
        <f t="shared" si="9"/>
        <v/>
      </c>
      <c r="AT97" s="326">
        <f t="shared" si="12"/>
        <v>0</v>
      </c>
      <c r="AU97" s="326"/>
      <c r="AV97" s="326">
        <f t="shared" si="10"/>
        <v>0</v>
      </c>
      <c r="AW97" s="326">
        <f t="shared" si="13"/>
        <v>0</v>
      </c>
      <c r="AX97" s="288">
        <f t="shared" si="14"/>
        <v>0</v>
      </c>
      <c r="AY97" s="327">
        <f t="shared" si="8"/>
        <v>0</v>
      </c>
      <c r="AZ97" s="288">
        <f t="shared" si="11"/>
        <v>0</v>
      </c>
      <c r="BA97" s="288"/>
    </row>
    <row r="98" spans="45:53" s="246" customFormat="1" ht="15" x14ac:dyDescent="0.2">
      <c r="AS98" s="288" t="str">
        <f t="shared" si="9"/>
        <v/>
      </c>
      <c r="AT98" s="326">
        <f t="shared" si="12"/>
        <v>0</v>
      </c>
      <c r="AU98" s="326"/>
      <c r="AV98" s="326">
        <f t="shared" si="10"/>
        <v>0</v>
      </c>
      <c r="AW98" s="326">
        <f t="shared" si="13"/>
        <v>0</v>
      </c>
      <c r="AX98" s="288">
        <f t="shared" si="14"/>
        <v>0</v>
      </c>
      <c r="AY98" s="327">
        <f t="shared" si="8"/>
        <v>0</v>
      </c>
      <c r="AZ98" s="288">
        <f t="shared" si="11"/>
        <v>0</v>
      </c>
      <c r="BA98" s="288"/>
    </row>
    <row r="99" spans="45:53" s="246" customFormat="1" ht="15" x14ac:dyDescent="0.2">
      <c r="AS99" s="288" t="str">
        <f t="shared" si="9"/>
        <v/>
      </c>
      <c r="AT99" s="326">
        <f t="shared" si="12"/>
        <v>0</v>
      </c>
      <c r="AU99" s="326"/>
      <c r="AV99" s="326">
        <f t="shared" si="10"/>
        <v>0</v>
      </c>
      <c r="AW99" s="326">
        <f t="shared" si="13"/>
        <v>0</v>
      </c>
      <c r="AX99" s="288">
        <f t="shared" si="14"/>
        <v>0</v>
      </c>
      <c r="AY99" s="327">
        <f t="shared" si="8"/>
        <v>0</v>
      </c>
      <c r="AZ99" s="288">
        <f t="shared" si="11"/>
        <v>0</v>
      </c>
      <c r="BA99" s="288"/>
    </row>
    <row r="100" spans="45:53" s="246" customFormat="1" ht="15" x14ac:dyDescent="0.2">
      <c r="AS100" s="288" t="str">
        <f t="shared" si="9"/>
        <v/>
      </c>
      <c r="AT100" s="326">
        <f t="shared" si="12"/>
        <v>0</v>
      </c>
      <c r="AU100" s="326"/>
      <c r="AV100" s="326">
        <f t="shared" si="10"/>
        <v>0</v>
      </c>
      <c r="AW100" s="326">
        <f t="shared" si="13"/>
        <v>0</v>
      </c>
      <c r="AX100" s="288">
        <f t="shared" si="14"/>
        <v>0</v>
      </c>
      <c r="AY100" s="327">
        <f t="shared" si="8"/>
        <v>0</v>
      </c>
      <c r="AZ100" s="288">
        <f t="shared" si="11"/>
        <v>0</v>
      </c>
      <c r="BA100" s="288"/>
    </row>
    <row r="101" spans="45:53" s="246" customFormat="1" ht="15" x14ac:dyDescent="0.2">
      <c r="AS101" s="288" t="str">
        <f t="shared" si="9"/>
        <v/>
      </c>
      <c r="AT101" s="326">
        <f t="shared" si="12"/>
        <v>0</v>
      </c>
      <c r="AU101" s="326"/>
      <c r="AV101" s="326">
        <f t="shared" si="10"/>
        <v>0</v>
      </c>
      <c r="AW101" s="326">
        <f t="shared" si="13"/>
        <v>0</v>
      </c>
      <c r="AX101" s="288">
        <f t="shared" si="14"/>
        <v>0</v>
      </c>
      <c r="AY101" s="327">
        <f t="shared" si="8"/>
        <v>0</v>
      </c>
      <c r="AZ101" s="288">
        <f t="shared" si="11"/>
        <v>0</v>
      </c>
      <c r="BA101" s="288"/>
    </row>
    <row r="102" spans="45:53" s="246" customFormat="1" ht="15" x14ac:dyDescent="0.2">
      <c r="AS102" s="288" t="str">
        <f t="shared" si="9"/>
        <v/>
      </c>
      <c r="AT102" s="326">
        <f t="shared" si="12"/>
        <v>0</v>
      </c>
      <c r="AU102" s="326"/>
      <c r="AV102" s="326">
        <f t="shared" si="10"/>
        <v>0</v>
      </c>
      <c r="AW102" s="326">
        <f t="shared" si="13"/>
        <v>0</v>
      </c>
      <c r="AX102" s="288">
        <f t="shared" si="14"/>
        <v>0</v>
      </c>
      <c r="AY102" s="327">
        <f t="shared" si="8"/>
        <v>0</v>
      </c>
      <c r="AZ102" s="288">
        <f t="shared" si="11"/>
        <v>0</v>
      </c>
      <c r="BA102" s="288"/>
    </row>
    <row r="103" spans="45:53" s="246" customFormat="1" ht="15" x14ac:dyDescent="0.2">
      <c r="AS103" s="288" t="str">
        <f t="shared" si="9"/>
        <v/>
      </c>
      <c r="AT103" s="326">
        <f t="shared" si="12"/>
        <v>0</v>
      </c>
      <c r="AU103" s="326"/>
      <c r="AV103" s="326">
        <f t="shared" si="10"/>
        <v>0</v>
      </c>
      <c r="AW103" s="326">
        <f t="shared" si="13"/>
        <v>0</v>
      </c>
      <c r="AX103" s="288">
        <f t="shared" si="14"/>
        <v>0</v>
      </c>
      <c r="AY103" s="327">
        <f t="shared" ref="AY103:AY114" si="15">LN(AX103+$J$37)-LN($J$37)</f>
        <v>0</v>
      </c>
      <c r="AZ103" s="288">
        <f t="shared" si="11"/>
        <v>0</v>
      </c>
      <c r="BA103" s="288"/>
    </row>
    <row r="104" spans="45:53" s="246" customFormat="1" ht="15" x14ac:dyDescent="0.2">
      <c r="AS104" s="288" t="str">
        <f t="shared" si="9"/>
        <v/>
      </c>
      <c r="AT104" s="326">
        <f t="shared" si="12"/>
        <v>0</v>
      </c>
      <c r="AU104" s="326"/>
      <c r="AV104" s="326">
        <f t="shared" si="10"/>
        <v>0</v>
      </c>
      <c r="AW104" s="326">
        <f t="shared" si="13"/>
        <v>0</v>
      </c>
      <c r="AX104" s="288">
        <f t="shared" si="14"/>
        <v>0</v>
      </c>
      <c r="AY104" s="327">
        <f t="shared" si="15"/>
        <v>0</v>
      </c>
      <c r="AZ104" s="288">
        <f t="shared" si="11"/>
        <v>0</v>
      </c>
      <c r="BA104" s="288"/>
    </row>
    <row r="105" spans="45:53" s="246" customFormat="1" ht="15" x14ac:dyDescent="0.2">
      <c r="AS105" s="288" t="str">
        <f t="shared" si="9"/>
        <v/>
      </c>
      <c r="AT105" s="326">
        <f t="shared" si="12"/>
        <v>0</v>
      </c>
      <c r="AU105" s="326"/>
      <c r="AV105" s="326">
        <f t="shared" si="10"/>
        <v>0</v>
      </c>
      <c r="AW105" s="326">
        <f t="shared" si="13"/>
        <v>0</v>
      </c>
      <c r="AX105" s="288">
        <f t="shared" si="14"/>
        <v>0</v>
      </c>
      <c r="AY105" s="327">
        <f t="shared" si="15"/>
        <v>0</v>
      </c>
      <c r="AZ105" s="288">
        <f t="shared" si="11"/>
        <v>0</v>
      </c>
      <c r="BA105" s="288"/>
    </row>
    <row r="106" spans="45:53" s="246" customFormat="1" ht="15" x14ac:dyDescent="0.2">
      <c r="AS106" s="288" t="str">
        <f t="shared" si="9"/>
        <v/>
      </c>
      <c r="AT106" s="326">
        <f t="shared" si="12"/>
        <v>0</v>
      </c>
      <c r="AU106" s="326"/>
      <c r="AV106" s="326">
        <f t="shared" si="10"/>
        <v>0</v>
      </c>
      <c r="AW106" s="326">
        <f t="shared" si="13"/>
        <v>0</v>
      </c>
      <c r="AX106" s="288">
        <f t="shared" si="14"/>
        <v>0</v>
      </c>
      <c r="AY106" s="327">
        <f t="shared" si="15"/>
        <v>0</v>
      </c>
      <c r="AZ106" s="288">
        <f t="shared" si="11"/>
        <v>0</v>
      </c>
      <c r="BA106" s="288"/>
    </row>
    <row r="107" spans="45:53" s="246" customFormat="1" ht="15" x14ac:dyDescent="0.2">
      <c r="AS107" s="288" t="str">
        <f t="shared" si="9"/>
        <v/>
      </c>
      <c r="AT107" s="326">
        <f t="shared" si="12"/>
        <v>0</v>
      </c>
      <c r="AU107" s="326"/>
      <c r="AV107" s="326">
        <f t="shared" si="10"/>
        <v>0</v>
      </c>
      <c r="AW107" s="326">
        <f t="shared" si="13"/>
        <v>0</v>
      </c>
      <c r="AX107" s="288">
        <f t="shared" si="14"/>
        <v>0</v>
      </c>
      <c r="AY107" s="327">
        <f t="shared" si="15"/>
        <v>0</v>
      </c>
      <c r="AZ107" s="288">
        <f t="shared" si="11"/>
        <v>0</v>
      </c>
      <c r="BA107" s="288"/>
    </row>
    <row r="108" spans="45:53" s="246" customFormat="1" ht="15" x14ac:dyDescent="0.2">
      <c r="AS108" s="288" t="str">
        <f t="shared" si="9"/>
        <v/>
      </c>
      <c r="AT108" s="326">
        <f t="shared" si="12"/>
        <v>0</v>
      </c>
      <c r="AU108" s="326"/>
      <c r="AV108" s="326">
        <f t="shared" si="10"/>
        <v>0</v>
      </c>
      <c r="AW108" s="326">
        <f t="shared" si="13"/>
        <v>0</v>
      </c>
      <c r="AX108" s="288">
        <f t="shared" si="14"/>
        <v>0</v>
      </c>
      <c r="AY108" s="327">
        <f t="shared" si="15"/>
        <v>0</v>
      </c>
      <c r="AZ108" s="288">
        <f t="shared" si="11"/>
        <v>0</v>
      </c>
      <c r="BA108" s="288"/>
    </row>
    <row r="109" spans="45:53" s="246" customFormat="1" ht="15" x14ac:dyDescent="0.2">
      <c r="AS109" s="288" t="str">
        <f t="shared" si="9"/>
        <v/>
      </c>
      <c r="AT109" s="326">
        <f t="shared" si="12"/>
        <v>0</v>
      </c>
      <c r="AU109" s="326"/>
      <c r="AV109" s="326">
        <f t="shared" si="10"/>
        <v>0</v>
      </c>
      <c r="AW109" s="326">
        <f t="shared" si="13"/>
        <v>0</v>
      </c>
      <c r="AX109" s="288">
        <f t="shared" si="14"/>
        <v>0</v>
      </c>
      <c r="AY109" s="327">
        <f t="shared" si="15"/>
        <v>0</v>
      </c>
      <c r="AZ109" s="288">
        <f t="shared" si="11"/>
        <v>0</v>
      </c>
      <c r="BA109" s="288"/>
    </row>
    <row r="110" spans="45:53" s="246" customFormat="1" ht="15" x14ac:dyDescent="0.2">
      <c r="AS110" s="288" t="str">
        <f t="shared" si="9"/>
        <v/>
      </c>
      <c r="AT110" s="326">
        <f t="shared" si="12"/>
        <v>0</v>
      </c>
      <c r="AU110" s="326"/>
      <c r="AV110" s="326">
        <f t="shared" si="10"/>
        <v>0</v>
      </c>
      <c r="AW110" s="326">
        <f t="shared" si="13"/>
        <v>0</v>
      </c>
      <c r="AX110" s="288">
        <f t="shared" si="14"/>
        <v>0</v>
      </c>
      <c r="AY110" s="327">
        <f t="shared" si="15"/>
        <v>0</v>
      </c>
      <c r="AZ110" s="288">
        <f t="shared" si="11"/>
        <v>0</v>
      </c>
      <c r="BA110" s="288"/>
    </row>
    <row r="111" spans="45:53" s="246" customFormat="1" ht="15" x14ac:dyDescent="0.2">
      <c r="AS111" s="288" t="str">
        <f t="shared" si="9"/>
        <v/>
      </c>
      <c r="AT111" s="326">
        <f t="shared" si="12"/>
        <v>0</v>
      </c>
      <c r="AU111" s="326"/>
      <c r="AV111" s="326">
        <f t="shared" si="10"/>
        <v>0</v>
      </c>
      <c r="AW111" s="326">
        <f t="shared" si="13"/>
        <v>0</v>
      </c>
      <c r="AX111" s="288">
        <f t="shared" si="14"/>
        <v>0</v>
      </c>
      <c r="AY111" s="327">
        <f t="shared" si="15"/>
        <v>0</v>
      </c>
      <c r="AZ111" s="288">
        <f t="shared" si="11"/>
        <v>0</v>
      </c>
      <c r="BA111" s="288"/>
    </row>
    <row r="112" spans="45:53" s="246" customFormat="1" ht="15" x14ac:dyDescent="0.2">
      <c r="AS112" s="288" t="str">
        <f t="shared" si="9"/>
        <v/>
      </c>
      <c r="AT112" s="326">
        <f t="shared" si="12"/>
        <v>0</v>
      </c>
      <c r="AU112" s="326"/>
      <c r="AV112" s="326">
        <f t="shared" si="10"/>
        <v>0</v>
      </c>
      <c r="AW112" s="326">
        <f t="shared" si="13"/>
        <v>0</v>
      </c>
      <c r="AX112" s="288">
        <f t="shared" si="14"/>
        <v>0</v>
      </c>
      <c r="AY112" s="327">
        <f t="shared" si="15"/>
        <v>0</v>
      </c>
      <c r="AZ112" s="288">
        <f t="shared" si="11"/>
        <v>0</v>
      </c>
      <c r="BA112" s="288"/>
    </row>
    <row r="113" spans="45:53" s="246" customFormat="1" ht="15" x14ac:dyDescent="0.2">
      <c r="AS113" s="288" t="str">
        <f t="shared" si="9"/>
        <v/>
      </c>
      <c r="AT113" s="326">
        <f t="shared" si="12"/>
        <v>0</v>
      </c>
      <c r="AU113" s="326"/>
      <c r="AV113" s="326">
        <f t="shared" si="10"/>
        <v>0</v>
      </c>
      <c r="AW113" s="326">
        <f t="shared" si="13"/>
        <v>0</v>
      </c>
      <c r="AX113" s="288">
        <f t="shared" si="14"/>
        <v>0</v>
      </c>
      <c r="AY113" s="327">
        <f t="shared" si="15"/>
        <v>0</v>
      </c>
      <c r="AZ113" s="288">
        <f t="shared" si="11"/>
        <v>0</v>
      </c>
      <c r="BA113" s="288"/>
    </row>
    <row r="114" spans="45:53" s="246" customFormat="1" ht="15" x14ac:dyDescent="0.2">
      <c r="AS114" s="288" t="str">
        <f t="shared" si="9"/>
        <v/>
      </c>
      <c r="AT114" s="326">
        <f t="shared" si="12"/>
        <v>0</v>
      </c>
      <c r="AU114" s="326"/>
      <c r="AV114" s="326">
        <f t="shared" si="10"/>
        <v>0</v>
      </c>
      <c r="AW114" s="326">
        <f t="shared" si="13"/>
        <v>0</v>
      </c>
      <c r="AX114" s="288">
        <f t="shared" si="14"/>
        <v>0</v>
      </c>
      <c r="AY114" s="327">
        <f t="shared" si="15"/>
        <v>0</v>
      </c>
      <c r="AZ114" s="288">
        <f t="shared" si="11"/>
        <v>0</v>
      </c>
      <c r="BA114" s="288"/>
    </row>
    <row r="115" spans="45:53" s="246" customFormat="1" ht="15" x14ac:dyDescent="0.2">
      <c r="BA115" s="288"/>
    </row>
    <row r="116" spans="45:53" s="246" customFormat="1" ht="15" x14ac:dyDescent="0.2">
      <c r="BA116" s="288"/>
    </row>
    <row r="117" spans="45:53" s="246" customFormat="1" ht="15" x14ac:dyDescent="0.2">
      <c r="BA117" s="288"/>
    </row>
    <row r="118" spans="45:53" s="246" customFormat="1" ht="15" x14ac:dyDescent="0.2">
      <c r="BA118" s="288"/>
    </row>
    <row r="119" spans="45:53" ht="15" x14ac:dyDescent="0.2">
      <c r="BA119" s="232"/>
    </row>
  </sheetData>
  <mergeCells count="68">
    <mergeCell ref="S2:T3"/>
    <mergeCell ref="Z2:AB3"/>
    <mergeCell ref="B4:D5"/>
    <mergeCell ref="F4:G5"/>
    <mergeCell ref="T4:U4"/>
    <mergeCell ref="V4:W4"/>
    <mergeCell ref="T5:U5"/>
    <mergeCell ref="V5:W5"/>
    <mergeCell ref="AE6:AE7"/>
    <mergeCell ref="B7:B11"/>
    <mergeCell ref="Q8:Q11"/>
    <mergeCell ref="T8:U8"/>
    <mergeCell ref="V8:W8"/>
    <mergeCell ref="C9:D9"/>
    <mergeCell ref="T9:U9"/>
    <mergeCell ref="V9:W9"/>
    <mergeCell ref="Z9:AA9"/>
    <mergeCell ref="T10:U10"/>
    <mergeCell ref="C6:D6"/>
    <mergeCell ref="I6:J6"/>
    <mergeCell ref="L6:M6"/>
    <mergeCell ref="T6:U6"/>
    <mergeCell ref="V6:W6"/>
    <mergeCell ref="AD6:AD7"/>
    <mergeCell ref="V10:W10"/>
    <mergeCell ref="Z10:AA10"/>
    <mergeCell ref="T11:U11"/>
    <mergeCell ref="V11:W11"/>
    <mergeCell ref="T12:U12"/>
    <mergeCell ref="V12:W12"/>
    <mergeCell ref="Q13:Q14"/>
    <mergeCell ref="T13:U13"/>
    <mergeCell ref="V13:W13"/>
    <mergeCell ref="B14:B18"/>
    <mergeCell ref="C14:C15"/>
    <mergeCell ref="D14:D15"/>
    <mergeCell ref="F14:F15"/>
    <mergeCell ref="G14:G15"/>
    <mergeCell ref="T14:U14"/>
    <mergeCell ref="V14:W14"/>
    <mergeCell ref="T15:U15"/>
    <mergeCell ref="C16:C17"/>
    <mergeCell ref="D16:D17"/>
    <mergeCell ref="F16:F17"/>
    <mergeCell ref="G16:G17"/>
    <mergeCell ref="T16:U16"/>
    <mergeCell ref="L17:M17"/>
    <mergeCell ref="T17:U17"/>
    <mergeCell ref="T18:U18"/>
    <mergeCell ref="T19:U19"/>
    <mergeCell ref="F21:F24"/>
    <mergeCell ref="Q21:Q25"/>
    <mergeCell ref="R21:S22"/>
    <mergeCell ref="U21:W22"/>
    <mergeCell ref="J37:N37"/>
    <mergeCell ref="O37:P37"/>
    <mergeCell ref="D38:G38"/>
    <mergeCell ref="R38:T38"/>
    <mergeCell ref="B23:E26"/>
    <mergeCell ref="F31:F34"/>
    <mergeCell ref="R33:V33"/>
    <mergeCell ref="B36:B38"/>
    <mergeCell ref="D36:F36"/>
    <mergeCell ref="H36:I36"/>
    <mergeCell ref="J36:N36"/>
    <mergeCell ref="O36:P36"/>
    <mergeCell ref="D37:F37"/>
    <mergeCell ref="H37:I37"/>
  </mergeCells>
  <phoneticPr fontId="49" type="noConversion"/>
  <dataValidations count="3">
    <dataValidation type="list" allowBlank="1" showInputMessage="1" sqref="K9">
      <formula1>$C$30:$G$30</formula1>
    </dataValidation>
    <dataValidation type="list" allowBlank="1" showInputMessage="1" sqref="K14">
      <formula1>$C$21:$G$21</formula1>
    </dataValidation>
    <dataValidation type="list" allowBlank="1" showInputMessage="1" sqref="K15">
      <formula1>$C$28:$G$28</formula1>
    </dataValidation>
  </dataValidations>
  <hyperlinks>
    <hyperlink ref="H38" r:id="rId1" location="Grantstructure"/>
  </hyperlinks>
  <pageMargins left="0.7" right="0.7" top="0.75" bottom="0.75" header="0.3" footer="0.3"/>
  <legacyDrawing r:id="rId2"/>
  <extLst>
    <ext xmlns:x14="http://schemas.microsoft.com/office/spreadsheetml/2009/9/main" uri="{CCE6A557-97BC-4b89-ADB6-D9C93CAAB3DF}">
      <x14:dataValidations xmlns:xm="http://schemas.microsoft.com/office/excel/2006/main" count="36">
        <x14:dataValidation type="list" allowBlank="1" showInputMessage="1">
          <x14:formula1>
            <xm:f>Parameters!$D$5:$H$5</xm:f>
          </x14:formula1>
          <xm:sqref>G7</xm:sqref>
        </x14:dataValidation>
        <x14:dataValidation type="list" allowBlank="1" showInputMessage="1">
          <x14:formula1>
            <xm:f>Parameters!$D$9:$H$9</xm:f>
          </x14:formula1>
          <xm:sqref>G10</xm:sqref>
        </x14:dataValidation>
        <x14:dataValidation type="list" allowBlank="1" showInputMessage="1">
          <x14:formula1>
            <xm:f>Parameters!$D$8:$H$8</xm:f>
          </x14:formula1>
          <xm:sqref>G8</xm:sqref>
        </x14:dataValidation>
        <x14:dataValidation type="list" allowBlank="1" showInputMessage="1">
          <x14:formula1>
            <xm:f>Parameters!$D$32:$H$32</xm:f>
          </x14:formula1>
          <xm:sqref>G18</xm:sqref>
        </x14:dataValidation>
        <x14:dataValidation type="list" allowBlank="1" showInputMessage="1">
          <x14:formula1>
            <xm:f>Parameters!$D$7:$H$7</xm:f>
          </x14:formula1>
          <xm:sqref>G9</xm:sqref>
        </x14:dataValidation>
        <x14:dataValidation type="list" allowBlank="1" showInputMessage="1">
          <x14:formula1>
            <xm:f>Parameters!$D$4:$H$4</xm:f>
          </x14:formula1>
          <xm:sqref>D7</xm:sqref>
        </x14:dataValidation>
        <x14:dataValidation type="list" allowBlank="1" showInputMessage="1">
          <x14:formula1>
            <xm:f>Parameters!$D$14:$H$14</xm:f>
          </x14:formula1>
          <xm:sqref>J17:K17</xm:sqref>
        </x14:dataValidation>
        <x14:dataValidation type="list" allowBlank="1" showInputMessage="1">
          <x14:formula1>
            <xm:f>Parameters!$D$17:$H$17</xm:f>
          </x14:formula1>
          <xm:sqref>J18:K18</xm:sqref>
        </x14:dataValidation>
        <x14:dataValidation type="list" allowBlank="1" showInputMessage="1">
          <x14:formula1>
            <xm:f>Parameters!$D$21:$H$21</xm:f>
          </x14:formula1>
          <xm:sqref>J16:K16</xm:sqref>
        </x14:dataValidation>
        <x14:dataValidation type="list" allowBlank="1" showInputMessage="1">
          <x14:formula1>
            <xm:f>Parameters!$D$18:$H$18</xm:f>
          </x14:formula1>
          <xm:sqref>J10</xm:sqref>
        </x14:dataValidation>
        <x14:dataValidation type="list" allowBlank="1" showInputMessage="1">
          <x14:formula1>
            <xm:f>Parameters!$E$23:$G$23</xm:f>
          </x14:formula1>
          <xm:sqref>K7</xm:sqref>
        </x14:dataValidation>
        <x14:dataValidation type="list" allowBlank="1" showInputMessage="1">
          <x14:formula1>
            <xm:f>Parameters!$D$23:$H$23</xm:f>
          </x14:formula1>
          <xm:sqref>J7</xm:sqref>
        </x14:dataValidation>
        <x14:dataValidation type="list" allowBlank="1" showInputMessage="1">
          <x14:formula1>
            <xm:f>Parameters!$E$16:$I$16</xm:f>
          </x14:formula1>
          <xm:sqref>K10</xm:sqref>
        </x14:dataValidation>
        <x14:dataValidation type="list" allowBlank="1" showInputMessage="1">
          <x14:formula1>
            <xm:f>Parameters!$D$16:$H$16</xm:f>
          </x14:formula1>
          <xm:sqref>J8</xm:sqref>
        </x14:dataValidation>
        <x14:dataValidation type="list" allowBlank="1" showInputMessage="1">
          <x14:formula1>
            <xm:f>Parameters!$D$36:$H$36</xm:f>
          </x14:formula1>
          <xm:sqref>M7</xm:sqref>
        </x14:dataValidation>
        <x14:dataValidation type="list" allowBlank="1" showInputMessage="1">
          <x14:formula1>
            <xm:f>Parameters!$D$37:$H$37</xm:f>
          </x14:formula1>
          <xm:sqref>M8</xm:sqref>
        </x14:dataValidation>
        <x14:dataValidation type="list" allowBlank="1" showInputMessage="1">
          <x14:formula1>
            <xm:f>Parameters!$D$38:$H$38</xm:f>
          </x14:formula1>
          <xm:sqref>M9</xm:sqref>
        </x14:dataValidation>
        <x14:dataValidation type="list" allowBlank="1" showInputMessage="1">
          <x14:formula1>
            <xm:f>Parameters!$D$39:$H$39</xm:f>
          </x14:formula1>
          <xm:sqref>M10</xm:sqref>
        </x14:dataValidation>
        <x14:dataValidation type="list" allowBlank="1" showInputMessage="1">
          <x14:formula1>
            <xm:f>Parameters!$D$40:$H$40</xm:f>
          </x14:formula1>
          <xm:sqref>M11</xm:sqref>
        </x14:dataValidation>
        <x14:dataValidation type="list" allowBlank="1" showInputMessage="1">
          <x14:formula1>
            <xm:f>Parameters!$D$41:$H$41</xm:f>
          </x14:formula1>
          <xm:sqref>M12</xm:sqref>
        </x14:dataValidation>
        <x14:dataValidation type="list" allowBlank="1" showInputMessage="1">
          <x14:formula1>
            <xm:f>Parameters!$D$42:$H$42</xm:f>
          </x14:formula1>
          <xm:sqref>M13</xm:sqref>
        </x14:dataValidation>
        <x14:dataValidation type="list" allowBlank="1" showInputMessage="1">
          <x14:formula1>
            <xm:f>Parameters!$D$43:$H$43</xm:f>
          </x14:formula1>
          <xm:sqref>M14</xm:sqref>
        </x14:dataValidation>
        <x14:dataValidation type="list" allowBlank="1" showInputMessage="1">
          <x14:formula1>
            <xm:f>Parameters!$D$44:$H$44</xm:f>
          </x14:formula1>
          <xm:sqref>M15</xm:sqref>
        </x14:dataValidation>
        <x14:dataValidation type="list" allowBlank="1" showInputMessage="1">
          <x14:formula1>
            <xm:f>Parameters!$D$25:$H$25</xm:f>
          </x14:formula1>
          <xm:sqref>J9</xm:sqref>
        </x14:dataValidation>
        <x14:dataValidation type="list" allowBlank="1" showInputMessage="1">
          <x14:formula1>
            <xm:f>Parameters!$D$24:$H$24</xm:f>
          </x14:formula1>
          <xm:sqref>J11</xm:sqref>
        </x14:dataValidation>
        <x14:dataValidation type="list" allowBlank="1" showInputMessage="1">
          <x14:formula1>
            <xm:f>Parameters!$D$15:$H$15</xm:f>
          </x14:formula1>
          <xm:sqref>J15</xm:sqref>
        </x14:dataValidation>
        <x14:dataValidation type="list" allowBlank="1" showInputMessage="1">
          <x14:formula1>
            <xm:f>Parameters!$D$22:$H$22</xm:f>
          </x14:formula1>
          <xm:sqref>J14</xm:sqref>
        </x14:dataValidation>
        <x14:dataValidation type="list" allowBlank="1" showInputMessage="1">
          <x14:formula1>
            <xm:f>Parameters!$D$28:$H$28</xm:f>
          </x14:formula1>
          <xm:sqref>G16</xm:sqref>
        </x14:dataValidation>
        <x14:dataValidation type="list" allowBlank="1" showInputMessage="1">
          <x14:formula1>
            <xm:f>Parameters!$D$10:$H$10</xm:f>
          </x14:formula1>
          <xm:sqref>G14</xm:sqref>
        </x14:dataValidation>
        <x14:dataValidation type="list" allowBlank="1" showInputMessage="1">
          <x14:formula1>
            <xm:f>Parameters!$D$56:$H$56</xm:f>
          </x14:formula1>
          <xm:sqref>D14</xm:sqref>
        </x14:dataValidation>
        <x14:dataValidation type="list" allowBlank="1" showInputMessage="1">
          <x14:formula1>
            <xm:f>Parameters!$D$55:$H$55</xm:f>
          </x14:formula1>
          <xm:sqref>D11</xm:sqref>
        </x14:dataValidation>
        <x14:dataValidation type="list" allowBlank="1" showInputMessage="1">
          <x14:formula1>
            <xm:f>Parameters!$D$54:$H$54</xm:f>
          </x14:formula1>
          <xm:sqref>D10</xm:sqref>
        </x14:dataValidation>
        <x14:dataValidation type="list" allowBlank="1" showInputMessage="1">
          <x14:formula1>
            <xm:f>Parameters!$D$57:$H$57</xm:f>
          </x14:formula1>
          <xm:sqref>D16:D17</xm:sqref>
        </x14:dataValidation>
        <x14:dataValidation type="list" allowBlank="1" showInputMessage="1">
          <x14:formula1>
            <xm:f>Parameters!$D$33:$H$33</xm:f>
          </x14:formula1>
          <xm:sqref>G11</xm:sqref>
        </x14:dataValidation>
        <x14:dataValidation type="list" allowBlank="1" showInputMessage="1">
          <x14:formula1>
            <xm:f>Parameters!$D$6:$H$6</xm:f>
          </x14:formula1>
          <xm:sqref>G13</xm:sqref>
        </x14:dataValidation>
        <x14:dataValidation type="list" allowBlank="1" showInputMessage="1">
          <x14:formula1>
            <xm:f>Parameters!$D$51:$H$51</xm:f>
          </x14:formula1>
          <xm:sqref>M18</xm:sqref>
        </x14:dataValidation>
      </x14:dataValidations>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7"/>
  <sheetViews>
    <sheetView workbookViewId="0"/>
  </sheetViews>
  <sheetFormatPr baseColWidth="10" defaultColWidth="11.5" defaultRowHeight="13" x14ac:dyDescent="0.15"/>
  <cols>
    <col min="1" max="11" width="11.5" style="229" customWidth="1"/>
    <col min="12" max="12" width="19" style="403" bestFit="1" customWidth="1"/>
    <col min="13" max="256" width="11.5" style="229"/>
    <col min="257" max="267" width="11.5" style="229" customWidth="1"/>
    <col min="268" max="268" width="19" style="229" bestFit="1" customWidth="1"/>
    <col min="269" max="512" width="11.5" style="229"/>
    <col min="513" max="523" width="11.5" style="229" customWidth="1"/>
    <col min="524" max="524" width="19" style="229" bestFit="1" customWidth="1"/>
    <col min="525" max="768" width="11.5" style="229"/>
    <col min="769" max="779" width="11.5" style="229" customWidth="1"/>
    <col min="780" max="780" width="19" style="229" bestFit="1" customWidth="1"/>
    <col min="781" max="1024" width="11.5" style="229"/>
    <col min="1025" max="1035" width="11.5" style="229" customWidth="1"/>
    <col min="1036" max="1036" width="19" style="229" bestFit="1" customWidth="1"/>
    <col min="1037" max="1280" width="11.5" style="229"/>
    <col min="1281" max="1291" width="11.5" style="229" customWidth="1"/>
    <col min="1292" max="1292" width="19" style="229" bestFit="1" customWidth="1"/>
    <col min="1293" max="1536" width="11.5" style="229"/>
    <col min="1537" max="1547" width="11.5" style="229" customWidth="1"/>
    <col min="1548" max="1548" width="19" style="229" bestFit="1" customWidth="1"/>
    <col min="1549" max="1792" width="11.5" style="229"/>
    <col min="1793" max="1803" width="11.5" style="229" customWidth="1"/>
    <col min="1804" max="1804" width="19" style="229" bestFit="1" customWidth="1"/>
    <col min="1805" max="2048" width="11.5" style="229"/>
    <col min="2049" max="2059" width="11.5" style="229" customWidth="1"/>
    <col min="2060" max="2060" width="19" style="229" bestFit="1" customWidth="1"/>
    <col min="2061" max="2304" width="11.5" style="229"/>
    <col min="2305" max="2315" width="11.5" style="229" customWidth="1"/>
    <col min="2316" max="2316" width="19" style="229" bestFit="1" customWidth="1"/>
    <col min="2317" max="2560" width="11.5" style="229"/>
    <col min="2561" max="2571" width="11.5" style="229" customWidth="1"/>
    <col min="2572" max="2572" width="19" style="229" bestFit="1" customWidth="1"/>
    <col min="2573" max="2816" width="11.5" style="229"/>
    <col min="2817" max="2827" width="11.5" style="229" customWidth="1"/>
    <col min="2828" max="2828" width="19" style="229" bestFit="1" customWidth="1"/>
    <col min="2829" max="3072" width="11.5" style="229"/>
    <col min="3073" max="3083" width="11.5" style="229" customWidth="1"/>
    <col min="3084" max="3084" width="19" style="229" bestFit="1" customWidth="1"/>
    <col min="3085" max="3328" width="11.5" style="229"/>
    <col min="3329" max="3339" width="11.5" style="229" customWidth="1"/>
    <col min="3340" max="3340" width="19" style="229" bestFit="1" customWidth="1"/>
    <col min="3341" max="3584" width="11.5" style="229"/>
    <col min="3585" max="3595" width="11.5" style="229" customWidth="1"/>
    <col min="3596" max="3596" width="19" style="229" bestFit="1" customWidth="1"/>
    <col min="3597" max="3840" width="11.5" style="229"/>
    <col min="3841" max="3851" width="11.5" style="229" customWidth="1"/>
    <col min="3852" max="3852" width="19" style="229" bestFit="1" customWidth="1"/>
    <col min="3853" max="4096" width="11.5" style="229"/>
    <col min="4097" max="4107" width="11.5" style="229" customWidth="1"/>
    <col min="4108" max="4108" width="19" style="229" bestFit="1" customWidth="1"/>
    <col min="4109" max="4352" width="11.5" style="229"/>
    <col min="4353" max="4363" width="11.5" style="229" customWidth="1"/>
    <col min="4364" max="4364" width="19" style="229" bestFit="1" customWidth="1"/>
    <col min="4365" max="4608" width="11.5" style="229"/>
    <col min="4609" max="4619" width="11.5" style="229" customWidth="1"/>
    <col min="4620" max="4620" width="19" style="229" bestFit="1" customWidth="1"/>
    <col min="4621" max="4864" width="11.5" style="229"/>
    <col min="4865" max="4875" width="11.5" style="229" customWidth="1"/>
    <col min="4876" max="4876" width="19" style="229" bestFit="1" customWidth="1"/>
    <col min="4877" max="5120" width="11.5" style="229"/>
    <col min="5121" max="5131" width="11.5" style="229" customWidth="1"/>
    <col min="5132" max="5132" width="19" style="229" bestFit="1" customWidth="1"/>
    <col min="5133" max="5376" width="11.5" style="229"/>
    <col min="5377" max="5387" width="11.5" style="229" customWidth="1"/>
    <col min="5388" max="5388" width="19" style="229" bestFit="1" customWidth="1"/>
    <col min="5389" max="5632" width="11.5" style="229"/>
    <col min="5633" max="5643" width="11.5" style="229" customWidth="1"/>
    <col min="5644" max="5644" width="19" style="229" bestFit="1" customWidth="1"/>
    <col min="5645" max="5888" width="11.5" style="229"/>
    <col min="5889" max="5899" width="11.5" style="229" customWidth="1"/>
    <col min="5900" max="5900" width="19" style="229" bestFit="1" customWidth="1"/>
    <col min="5901" max="6144" width="11.5" style="229"/>
    <col min="6145" max="6155" width="11.5" style="229" customWidth="1"/>
    <col min="6156" max="6156" width="19" style="229" bestFit="1" customWidth="1"/>
    <col min="6157" max="6400" width="11.5" style="229"/>
    <col min="6401" max="6411" width="11.5" style="229" customWidth="1"/>
    <col min="6412" max="6412" width="19" style="229" bestFit="1" customWidth="1"/>
    <col min="6413" max="6656" width="11.5" style="229"/>
    <col min="6657" max="6667" width="11.5" style="229" customWidth="1"/>
    <col min="6668" max="6668" width="19" style="229" bestFit="1" customWidth="1"/>
    <col min="6669" max="6912" width="11.5" style="229"/>
    <col min="6913" max="6923" width="11.5" style="229" customWidth="1"/>
    <col min="6924" max="6924" width="19" style="229" bestFit="1" customWidth="1"/>
    <col min="6925" max="7168" width="11.5" style="229"/>
    <col min="7169" max="7179" width="11.5" style="229" customWidth="1"/>
    <col min="7180" max="7180" width="19" style="229" bestFit="1" customWidth="1"/>
    <col min="7181" max="7424" width="11.5" style="229"/>
    <col min="7425" max="7435" width="11.5" style="229" customWidth="1"/>
    <col min="7436" max="7436" width="19" style="229" bestFit="1" customWidth="1"/>
    <col min="7437" max="7680" width="11.5" style="229"/>
    <col min="7681" max="7691" width="11.5" style="229" customWidth="1"/>
    <col min="7692" max="7692" width="19" style="229" bestFit="1" customWidth="1"/>
    <col min="7693" max="7936" width="11.5" style="229"/>
    <col min="7937" max="7947" width="11.5" style="229" customWidth="1"/>
    <col min="7948" max="7948" width="19" style="229" bestFit="1" customWidth="1"/>
    <col min="7949" max="8192" width="11.5" style="229"/>
    <col min="8193" max="8203" width="11.5" style="229" customWidth="1"/>
    <col min="8204" max="8204" width="19" style="229" bestFit="1" customWidth="1"/>
    <col min="8205" max="8448" width="11.5" style="229"/>
    <col min="8449" max="8459" width="11.5" style="229" customWidth="1"/>
    <col min="8460" max="8460" width="19" style="229" bestFit="1" customWidth="1"/>
    <col min="8461" max="8704" width="11.5" style="229"/>
    <col min="8705" max="8715" width="11.5" style="229" customWidth="1"/>
    <col min="8716" max="8716" width="19" style="229" bestFit="1" customWidth="1"/>
    <col min="8717" max="8960" width="11.5" style="229"/>
    <col min="8961" max="8971" width="11.5" style="229" customWidth="1"/>
    <col min="8972" max="8972" width="19" style="229" bestFit="1" customWidth="1"/>
    <col min="8973" max="9216" width="11.5" style="229"/>
    <col min="9217" max="9227" width="11.5" style="229" customWidth="1"/>
    <col min="9228" max="9228" width="19" style="229" bestFit="1" customWidth="1"/>
    <col min="9229" max="9472" width="11.5" style="229"/>
    <col min="9473" max="9483" width="11.5" style="229" customWidth="1"/>
    <col min="9484" max="9484" width="19" style="229" bestFit="1" customWidth="1"/>
    <col min="9485" max="9728" width="11.5" style="229"/>
    <col min="9729" max="9739" width="11.5" style="229" customWidth="1"/>
    <col min="9740" max="9740" width="19" style="229" bestFit="1" customWidth="1"/>
    <col min="9741" max="9984" width="11.5" style="229"/>
    <col min="9985" max="9995" width="11.5" style="229" customWidth="1"/>
    <col min="9996" max="9996" width="19" style="229" bestFit="1" customWidth="1"/>
    <col min="9997" max="10240" width="11.5" style="229"/>
    <col min="10241" max="10251" width="11.5" style="229" customWidth="1"/>
    <col min="10252" max="10252" width="19" style="229" bestFit="1" customWidth="1"/>
    <col min="10253" max="10496" width="11.5" style="229"/>
    <col min="10497" max="10507" width="11.5" style="229" customWidth="1"/>
    <col min="10508" max="10508" width="19" style="229" bestFit="1" customWidth="1"/>
    <col min="10509" max="10752" width="11.5" style="229"/>
    <col min="10753" max="10763" width="11.5" style="229" customWidth="1"/>
    <col min="10764" max="10764" width="19" style="229" bestFit="1" customWidth="1"/>
    <col min="10765" max="11008" width="11.5" style="229"/>
    <col min="11009" max="11019" width="11.5" style="229" customWidth="1"/>
    <col min="11020" max="11020" width="19" style="229" bestFit="1" customWidth="1"/>
    <col min="11021" max="11264" width="11.5" style="229"/>
    <col min="11265" max="11275" width="11.5" style="229" customWidth="1"/>
    <col min="11276" max="11276" width="19" style="229" bestFit="1" customWidth="1"/>
    <col min="11277" max="11520" width="11.5" style="229"/>
    <col min="11521" max="11531" width="11.5" style="229" customWidth="1"/>
    <col min="11532" max="11532" width="19" style="229" bestFit="1" customWidth="1"/>
    <col min="11533" max="11776" width="11.5" style="229"/>
    <col min="11777" max="11787" width="11.5" style="229" customWidth="1"/>
    <col min="11788" max="11788" width="19" style="229" bestFit="1" customWidth="1"/>
    <col min="11789" max="12032" width="11.5" style="229"/>
    <col min="12033" max="12043" width="11.5" style="229" customWidth="1"/>
    <col min="12044" max="12044" width="19" style="229" bestFit="1" customWidth="1"/>
    <col min="12045" max="12288" width="11.5" style="229"/>
    <col min="12289" max="12299" width="11.5" style="229" customWidth="1"/>
    <col min="12300" max="12300" width="19" style="229" bestFit="1" customWidth="1"/>
    <col min="12301" max="12544" width="11.5" style="229"/>
    <col min="12545" max="12555" width="11.5" style="229" customWidth="1"/>
    <col min="12556" max="12556" width="19" style="229" bestFit="1" customWidth="1"/>
    <col min="12557" max="12800" width="11.5" style="229"/>
    <col min="12801" max="12811" width="11.5" style="229" customWidth="1"/>
    <col min="12812" max="12812" width="19" style="229" bestFit="1" customWidth="1"/>
    <col min="12813" max="13056" width="11.5" style="229"/>
    <col min="13057" max="13067" width="11.5" style="229" customWidth="1"/>
    <col min="13068" max="13068" width="19" style="229" bestFit="1" customWidth="1"/>
    <col min="13069" max="13312" width="11.5" style="229"/>
    <col min="13313" max="13323" width="11.5" style="229" customWidth="1"/>
    <col min="13324" max="13324" width="19" style="229" bestFit="1" customWidth="1"/>
    <col min="13325" max="13568" width="11.5" style="229"/>
    <col min="13569" max="13579" width="11.5" style="229" customWidth="1"/>
    <col min="13580" max="13580" width="19" style="229" bestFit="1" customWidth="1"/>
    <col min="13581" max="13824" width="11.5" style="229"/>
    <col min="13825" max="13835" width="11.5" style="229" customWidth="1"/>
    <col min="13836" max="13836" width="19" style="229" bestFit="1" customWidth="1"/>
    <col min="13837" max="14080" width="11.5" style="229"/>
    <col min="14081" max="14091" width="11.5" style="229" customWidth="1"/>
    <col min="14092" max="14092" width="19" style="229" bestFit="1" customWidth="1"/>
    <col min="14093" max="14336" width="11.5" style="229"/>
    <col min="14337" max="14347" width="11.5" style="229" customWidth="1"/>
    <col min="14348" max="14348" width="19" style="229" bestFit="1" customWidth="1"/>
    <col min="14349" max="14592" width="11.5" style="229"/>
    <col min="14593" max="14603" width="11.5" style="229" customWidth="1"/>
    <col min="14604" max="14604" width="19" style="229" bestFit="1" customWidth="1"/>
    <col min="14605" max="14848" width="11.5" style="229"/>
    <col min="14849" max="14859" width="11.5" style="229" customWidth="1"/>
    <col min="14860" max="14860" width="19" style="229" bestFit="1" customWidth="1"/>
    <col min="14861" max="15104" width="11.5" style="229"/>
    <col min="15105" max="15115" width="11.5" style="229" customWidth="1"/>
    <col min="15116" max="15116" width="19" style="229" bestFit="1" customWidth="1"/>
    <col min="15117" max="15360" width="11.5" style="229"/>
    <col min="15361" max="15371" width="11.5" style="229" customWidth="1"/>
    <col min="15372" max="15372" width="19" style="229" bestFit="1" customWidth="1"/>
    <col min="15373" max="15616" width="11.5" style="229"/>
    <col min="15617" max="15627" width="11.5" style="229" customWidth="1"/>
    <col min="15628" max="15628" width="19" style="229" bestFit="1" customWidth="1"/>
    <col min="15629" max="15872" width="11.5" style="229"/>
    <col min="15873" max="15883" width="11.5" style="229" customWidth="1"/>
    <col min="15884" max="15884" width="19" style="229" bestFit="1" customWidth="1"/>
    <col min="15885" max="16128" width="11.5" style="229"/>
    <col min="16129" max="16139" width="11.5" style="229" customWidth="1"/>
    <col min="16140" max="16140" width="19" style="229" bestFit="1" customWidth="1"/>
    <col min="16141" max="16384" width="11.5" style="229"/>
  </cols>
  <sheetData>
    <row r="1" spans="1:15" x14ac:dyDescent="0.15">
      <c r="A1" s="406" t="s">
        <v>111</v>
      </c>
    </row>
    <row r="2" spans="1:15" x14ac:dyDescent="0.15">
      <c r="B2" s="229" t="s">
        <v>165</v>
      </c>
      <c r="F2" s="229" t="s">
        <v>166</v>
      </c>
      <c r="J2" s="229" t="s">
        <v>167</v>
      </c>
      <c r="L2" s="229" t="s">
        <v>168</v>
      </c>
      <c r="M2" s="229" t="s">
        <v>169</v>
      </c>
    </row>
    <row r="3" spans="1:15" x14ac:dyDescent="0.15">
      <c r="A3" s="229" t="s">
        <v>170</v>
      </c>
      <c r="B3" s="229" t="s">
        <v>171</v>
      </c>
      <c r="C3" s="229" t="s">
        <v>172</v>
      </c>
      <c r="D3" s="229" t="s">
        <v>173</v>
      </c>
      <c r="E3" s="229" t="s">
        <v>174</v>
      </c>
      <c r="F3" s="229" t="s">
        <v>171</v>
      </c>
      <c r="G3" s="229" t="s">
        <v>172</v>
      </c>
      <c r="H3" s="229" t="s">
        <v>173</v>
      </c>
      <c r="I3" s="229" t="s">
        <v>174</v>
      </c>
      <c r="J3" s="401" t="s">
        <v>175</v>
      </c>
      <c r="L3" s="229"/>
    </row>
    <row r="4" spans="1:15" x14ac:dyDescent="0.15">
      <c r="A4" s="229" t="s">
        <v>176</v>
      </c>
      <c r="B4" s="398">
        <f>1-0.83</f>
        <v>0.17000000000000004</v>
      </c>
      <c r="C4" s="229">
        <v>4</v>
      </c>
      <c r="D4" s="229" t="s">
        <v>177</v>
      </c>
      <c r="F4" s="398">
        <f>1-0.77</f>
        <v>0.22999999999999998</v>
      </c>
      <c r="G4" s="229">
        <v>1</v>
      </c>
      <c r="H4" s="402" t="s">
        <v>178</v>
      </c>
      <c r="J4" s="229" t="s">
        <v>179</v>
      </c>
      <c r="L4" s="403">
        <f>F4/B4</f>
        <v>1.3529411764705879</v>
      </c>
      <c r="M4" s="229">
        <f>G4+C4</f>
        <v>5</v>
      </c>
    </row>
    <row r="5" spans="1:15" x14ac:dyDescent="0.15">
      <c r="A5" s="229" t="s">
        <v>180</v>
      </c>
      <c r="B5" s="398">
        <v>0.5</v>
      </c>
      <c r="C5" s="229">
        <v>5</v>
      </c>
      <c r="D5" s="229" t="s">
        <v>181</v>
      </c>
      <c r="E5" s="229" t="s">
        <v>182</v>
      </c>
      <c r="F5" s="398">
        <v>0.39</v>
      </c>
      <c r="G5" s="229">
        <v>3</v>
      </c>
      <c r="H5" s="229" t="s">
        <v>181</v>
      </c>
      <c r="I5" s="229" t="s">
        <v>182</v>
      </c>
      <c r="J5" s="229" t="s">
        <v>183</v>
      </c>
      <c r="L5" s="403">
        <f t="shared" ref="L5:L11" si="0">F5/B5</f>
        <v>0.78</v>
      </c>
      <c r="M5" s="229">
        <f t="shared" ref="M5:M11" si="1">G5+C5</f>
        <v>8</v>
      </c>
    </row>
    <row r="6" spans="1:15" x14ac:dyDescent="0.15">
      <c r="A6" s="229" t="s">
        <v>180</v>
      </c>
      <c r="B6" s="398">
        <v>0.62</v>
      </c>
      <c r="C6" s="229">
        <v>1</v>
      </c>
      <c r="D6" s="229" t="s">
        <v>184</v>
      </c>
      <c r="E6" s="229" t="s">
        <v>182</v>
      </c>
      <c r="F6" s="398">
        <v>0.39</v>
      </c>
      <c r="G6" s="229">
        <v>4</v>
      </c>
      <c r="H6" s="229" t="s">
        <v>184</v>
      </c>
      <c r="I6" s="229" t="s">
        <v>182</v>
      </c>
      <c r="J6" s="229" t="s">
        <v>183</v>
      </c>
      <c r="L6" s="403">
        <f t="shared" si="0"/>
        <v>0.62903225806451613</v>
      </c>
      <c r="M6" s="229">
        <f t="shared" si="1"/>
        <v>5</v>
      </c>
    </row>
    <row r="7" spans="1:15" x14ac:dyDescent="0.15">
      <c r="A7" s="229" t="s">
        <v>180</v>
      </c>
      <c r="B7" s="398">
        <v>0.52</v>
      </c>
      <c r="C7" s="229">
        <v>2</v>
      </c>
      <c r="D7" s="229" t="s">
        <v>184</v>
      </c>
      <c r="E7" s="229" t="s">
        <v>185</v>
      </c>
      <c r="F7" s="398">
        <v>0.11</v>
      </c>
      <c r="G7" s="229">
        <v>5</v>
      </c>
      <c r="H7" s="229" t="s">
        <v>184</v>
      </c>
      <c r="I7" s="229" t="s">
        <v>185</v>
      </c>
      <c r="J7" s="229" t="s">
        <v>183</v>
      </c>
      <c r="L7" s="403">
        <f t="shared" si="0"/>
        <v>0.21153846153846154</v>
      </c>
      <c r="M7" s="229">
        <f t="shared" si="1"/>
        <v>7</v>
      </c>
    </row>
    <row r="8" spans="1:15" x14ac:dyDescent="0.15">
      <c r="A8" s="229" t="s">
        <v>186</v>
      </c>
      <c r="B8" s="398">
        <v>0.13</v>
      </c>
      <c r="C8" s="229">
        <v>7</v>
      </c>
      <c r="D8" s="229" t="s">
        <v>181</v>
      </c>
      <c r="E8" s="229" t="s">
        <v>182</v>
      </c>
      <c r="F8" s="398">
        <v>0.1</v>
      </c>
      <c r="G8" s="229">
        <v>3</v>
      </c>
      <c r="H8" s="229" t="s">
        <v>181</v>
      </c>
      <c r="I8" s="229" t="s">
        <v>182</v>
      </c>
      <c r="J8" s="229" t="s">
        <v>187</v>
      </c>
      <c r="L8" s="403">
        <f t="shared" si="0"/>
        <v>0.76923076923076927</v>
      </c>
      <c r="M8" s="229">
        <f t="shared" si="1"/>
        <v>10</v>
      </c>
    </row>
    <row r="9" spans="1:15" x14ac:dyDescent="0.15">
      <c r="A9" s="229" t="s">
        <v>186</v>
      </c>
      <c r="B9" s="398">
        <v>0.42</v>
      </c>
      <c r="C9" s="229">
        <v>1</v>
      </c>
      <c r="D9" s="229" t="s">
        <v>184</v>
      </c>
      <c r="E9" s="229" t="s">
        <v>182</v>
      </c>
      <c r="F9" s="398">
        <v>-0.08</v>
      </c>
      <c r="G9" s="229">
        <v>1</v>
      </c>
      <c r="H9" s="229" t="s">
        <v>184</v>
      </c>
      <c r="I9" s="229" t="s">
        <v>182</v>
      </c>
      <c r="J9" s="229" t="s">
        <v>187</v>
      </c>
      <c r="L9" s="403">
        <f t="shared" si="0"/>
        <v>-0.19047619047619049</v>
      </c>
      <c r="M9" s="229" t="s">
        <v>188</v>
      </c>
    </row>
    <row r="10" spans="1:15" x14ac:dyDescent="0.15">
      <c r="A10" s="229" t="s">
        <v>186</v>
      </c>
      <c r="B10" s="398">
        <v>-0.1</v>
      </c>
      <c r="C10" s="229">
        <v>1</v>
      </c>
      <c r="D10" s="229" t="s">
        <v>184</v>
      </c>
      <c r="E10" s="229" t="s">
        <v>185</v>
      </c>
      <c r="F10" s="398">
        <v>0.32</v>
      </c>
      <c r="G10" s="229">
        <v>1</v>
      </c>
      <c r="H10" s="229" t="s">
        <v>184</v>
      </c>
      <c r="I10" s="229" t="s">
        <v>185</v>
      </c>
      <c r="J10" s="229" t="s">
        <v>187</v>
      </c>
      <c r="L10" s="403">
        <f t="shared" si="0"/>
        <v>-3.1999999999999997</v>
      </c>
      <c r="M10" s="229" t="s">
        <v>188</v>
      </c>
    </row>
    <row r="11" spans="1:15" x14ac:dyDescent="0.15">
      <c r="A11" s="229" t="s">
        <v>189</v>
      </c>
      <c r="B11" s="398">
        <f>1-(0.76+0.69)/2</f>
        <v>0.27500000000000002</v>
      </c>
      <c r="C11" s="229">
        <v>2</v>
      </c>
      <c r="D11" s="229" t="s">
        <v>181</v>
      </c>
      <c r="E11" s="229" t="s">
        <v>182</v>
      </c>
      <c r="F11" s="398">
        <f>1-(0.88+0.48+0.64)/3</f>
        <v>0.33333333333333337</v>
      </c>
      <c r="G11" s="229">
        <v>3</v>
      </c>
      <c r="H11" s="229" t="s">
        <v>181</v>
      </c>
      <c r="I11" s="229" t="s">
        <v>182</v>
      </c>
      <c r="J11" s="229" t="s">
        <v>107</v>
      </c>
      <c r="L11" s="403">
        <f t="shared" si="0"/>
        <v>1.2121212121212122</v>
      </c>
      <c r="M11" s="229">
        <f t="shared" si="1"/>
        <v>5</v>
      </c>
    </row>
    <row r="12" spans="1:15" x14ac:dyDescent="0.15">
      <c r="O12" s="401" t="s">
        <v>108</v>
      </c>
    </row>
    <row r="13" spans="1:15" x14ac:dyDescent="0.15">
      <c r="A13" s="229" t="s">
        <v>109</v>
      </c>
      <c r="B13" s="403">
        <f>SUMPRODUCT(B4:B11,C4:C11)/SUM(C4:C11)</f>
        <v>0.28782608695652173</v>
      </c>
      <c r="C13" s="403"/>
      <c r="D13" s="403"/>
      <c r="E13" s="403"/>
      <c r="F13" s="403">
        <f>SUMPRODUCT(F4:F11,G4:G11)/SUM(G4:G11)</f>
        <v>0.24047619047619045</v>
      </c>
      <c r="L13" s="403">
        <f>SUMPRODUCT(L4:L11,M4:M11)/SUM(M4:M11)</f>
        <v>0.78458875390896254</v>
      </c>
      <c r="O13" s="404">
        <f>1-L13</f>
        <v>0.21541124609103746</v>
      </c>
    </row>
    <row r="14" spans="1:15" x14ac:dyDescent="0.15">
      <c r="O14" s="404">
        <f>1-(F13/B13)</f>
        <v>0.16450870378362836</v>
      </c>
    </row>
    <row r="17" spans="1:1" x14ac:dyDescent="0.15">
      <c r="A17" s="405" t="s">
        <v>110</v>
      </c>
    </row>
  </sheetData>
  <pageMargins left="0.75" right="0.75" top="1" bottom="1" header="0.5" footer="0.5"/>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AZ43"/>
  <sheetViews>
    <sheetView zoomScale="125" workbookViewId="0">
      <pane xSplit="2" ySplit="4" topLeftCell="C5" activePane="bottomRight" state="frozen"/>
      <selection pane="topRight" activeCell="C1" sqref="C1"/>
      <selection pane="bottomLeft" activeCell="A6" sqref="A6"/>
      <selection pane="bottomRight" activeCell="C3" sqref="C3"/>
    </sheetView>
  </sheetViews>
  <sheetFormatPr baseColWidth="10" defaultColWidth="8.83203125" defaultRowHeight="15" x14ac:dyDescent="0.2"/>
  <cols>
    <col min="1" max="1" width="1.1640625" customWidth="1"/>
    <col min="2" max="2" width="28.5" bestFit="1" customWidth="1"/>
    <col min="3" max="4" width="8.1640625" customWidth="1"/>
    <col min="5" max="5" width="8.1640625" hidden="1" customWidth="1"/>
    <col min="6" max="6" width="8.1640625" customWidth="1"/>
    <col min="7" max="7" width="13" customWidth="1"/>
    <col min="8" max="8" width="10.5" bestFit="1" customWidth="1"/>
    <col min="9" max="9" width="11.1640625" bestFit="1" customWidth="1"/>
    <col min="10" max="10" width="12.1640625" customWidth="1"/>
    <col min="11" max="11" width="11" customWidth="1"/>
    <col min="12" max="12" width="10.5" hidden="1" customWidth="1"/>
    <col min="13" max="13" width="6.83203125" customWidth="1"/>
    <col min="14" max="14" width="7.5" customWidth="1"/>
    <col min="15" max="15" width="7.5" style="232" customWidth="1"/>
    <col min="16" max="16" width="7.5" hidden="1" customWidth="1"/>
    <col min="17" max="17" width="12.5" hidden="1" customWidth="1"/>
    <col min="18" max="18" width="13.5" hidden="1" customWidth="1"/>
    <col min="19" max="19" width="15.1640625" hidden="1" customWidth="1"/>
    <col min="20" max="20" width="5" customWidth="1"/>
    <col min="21" max="21" width="8.5" customWidth="1"/>
    <col min="24" max="29" width="10" customWidth="1"/>
    <col min="30" max="30" width="10" style="232" customWidth="1"/>
    <col min="31" max="31" width="10" style="232" hidden="1" customWidth="1"/>
    <col min="32" max="32" width="10" hidden="1" customWidth="1"/>
    <col min="33" max="34" width="10" customWidth="1"/>
    <col min="45" max="45" width="10" style="232" customWidth="1"/>
    <col min="46" max="46" width="3.1640625" customWidth="1"/>
    <col min="49" max="49" width="8.83203125" style="232"/>
    <col min="50" max="51" width="9.5" style="232" customWidth="1"/>
  </cols>
  <sheetData>
    <row r="1" spans="2:52" x14ac:dyDescent="0.2">
      <c r="C1" s="83" t="s">
        <v>293</v>
      </c>
      <c r="F1" s="311" t="s">
        <v>140</v>
      </c>
      <c r="N1" s="82"/>
      <c r="O1" s="82"/>
      <c r="P1" s="82"/>
      <c r="U1" s="197" t="s">
        <v>300</v>
      </c>
      <c r="V1" s="176"/>
      <c r="W1" s="311" t="s">
        <v>140</v>
      </c>
      <c r="X1" s="176"/>
      <c r="Y1" s="176"/>
      <c r="Z1" s="176"/>
      <c r="AA1" s="176"/>
      <c r="AB1" s="176"/>
      <c r="AC1" s="176"/>
      <c r="AD1" s="339"/>
      <c r="AE1" s="339"/>
      <c r="AF1" s="176"/>
      <c r="AG1" s="176"/>
      <c r="AH1" s="176"/>
      <c r="AI1" s="176"/>
      <c r="AJ1" s="176"/>
      <c r="AK1" s="176"/>
      <c r="AL1" s="176"/>
      <c r="AM1" s="176"/>
      <c r="AN1" s="176"/>
      <c r="AO1" s="176"/>
      <c r="AP1" s="176"/>
      <c r="AQ1" s="176"/>
      <c r="AR1" s="176"/>
      <c r="AS1" s="339"/>
      <c r="AT1" s="176"/>
      <c r="AU1" s="176"/>
      <c r="AV1" s="176"/>
      <c r="AW1" s="339"/>
      <c r="AX1" s="339"/>
      <c r="AY1" s="339"/>
    </row>
    <row r="2" spans="2:52" s="178" customFormat="1" ht="63" customHeight="1" x14ac:dyDescent="0.2">
      <c r="C2" s="534" t="s">
        <v>562</v>
      </c>
      <c r="D2" s="527"/>
      <c r="E2" s="527"/>
      <c r="F2" s="535"/>
      <c r="G2" s="528" t="s">
        <v>574</v>
      </c>
      <c r="H2" s="528" t="s">
        <v>364</v>
      </c>
      <c r="I2" s="536" t="s">
        <v>446</v>
      </c>
      <c r="J2" s="537"/>
      <c r="K2" s="537"/>
      <c r="L2" s="538"/>
      <c r="M2" s="526" t="s">
        <v>450</v>
      </c>
      <c r="N2" s="527"/>
      <c r="O2" s="527"/>
      <c r="P2" s="535"/>
      <c r="Q2" s="526" t="s">
        <v>299</v>
      </c>
      <c r="R2" s="527"/>
      <c r="S2" s="527"/>
      <c r="U2" s="532" t="s">
        <v>528</v>
      </c>
      <c r="V2" s="530" t="s">
        <v>531</v>
      </c>
      <c r="W2" s="530" t="s">
        <v>533</v>
      </c>
      <c r="X2" s="530" t="s">
        <v>529</v>
      </c>
      <c r="Y2" s="530" t="s">
        <v>547</v>
      </c>
      <c r="Z2" s="530" t="s">
        <v>532</v>
      </c>
      <c r="AA2" s="530" t="s">
        <v>534</v>
      </c>
      <c r="AB2" s="530" t="s">
        <v>440</v>
      </c>
      <c r="AC2" s="530" t="s">
        <v>231</v>
      </c>
      <c r="AD2" s="530" t="s">
        <v>241</v>
      </c>
      <c r="AE2" s="530" t="s">
        <v>217</v>
      </c>
      <c r="AF2" s="530" t="s">
        <v>530</v>
      </c>
      <c r="AG2" s="530" t="s">
        <v>345</v>
      </c>
      <c r="AH2" s="532" t="s">
        <v>372</v>
      </c>
      <c r="AI2" s="542" t="s">
        <v>277</v>
      </c>
      <c r="AJ2" s="543"/>
      <c r="AK2" s="542" t="s">
        <v>278</v>
      </c>
      <c r="AL2" s="543"/>
      <c r="AM2" s="542" t="s">
        <v>134</v>
      </c>
      <c r="AN2" s="543"/>
      <c r="AO2" s="542" t="s">
        <v>494</v>
      </c>
      <c r="AP2" s="543"/>
      <c r="AQ2" s="542" t="s">
        <v>279</v>
      </c>
      <c r="AR2" s="543"/>
      <c r="AS2" s="532" t="s">
        <v>78</v>
      </c>
      <c r="AU2" s="539" t="s">
        <v>121</v>
      </c>
      <c r="AV2" s="540"/>
      <c r="AW2" s="541"/>
      <c r="AX2" s="524" t="s">
        <v>288</v>
      </c>
      <c r="AY2" s="524" t="s">
        <v>289</v>
      </c>
      <c r="AZ2" s="449"/>
    </row>
    <row r="3" spans="2:52" s="178" customFormat="1" ht="26.5" customHeight="1" x14ac:dyDescent="0.2">
      <c r="B3" s="179" t="s">
        <v>67</v>
      </c>
      <c r="C3" s="155" t="s">
        <v>561</v>
      </c>
      <c r="D3" s="156" t="s">
        <v>560</v>
      </c>
      <c r="E3" s="156" t="s">
        <v>390</v>
      </c>
      <c r="F3" s="471" t="s">
        <v>542</v>
      </c>
      <c r="G3" s="529"/>
      <c r="H3" s="529"/>
      <c r="I3" s="157" t="s">
        <v>561</v>
      </c>
      <c r="J3" s="158" t="s">
        <v>560</v>
      </c>
      <c r="K3" s="158" t="s">
        <v>566</v>
      </c>
      <c r="L3" s="198" t="s">
        <v>390</v>
      </c>
      <c r="M3" s="156" t="s">
        <v>561</v>
      </c>
      <c r="N3" s="156" t="s">
        <v>560</v>
      </c>
      <c r="O3" s="156" t="s">
        <v>566</v>
      </c>
      <c r="P3" s="156" t="s">
        <v>390</v>
      </c>
      <c r="Q3" s="158" t="s">
        <v>561</v>
      </c>
      <c r="R3" s="158" t="s">
        <v>560</v>
      </c>
      <c r="S3" s="159" t="s">
        <v>390</v>
      </c>
      <c r="U3" s="533"/>
      <c r="V3" s="531"/>
      <c r="W3" s="531"/>
      <c r="X3" s="531"/>
      <c r="Y3" s="531"/>
      <c r="Z3" s="531"/>
      <c r="AA3" s="531"/>
      <c r="AB3" s="531"/>
      <c r="AC3" s="531"/>
      <c r="AD3" s="531"/>
      <c r="AE3" s="531"/>
      <c r="AF3" s="531"/>
      <c r="AG3" s="531"/>
      <c r="AH3" s="533"/>
      <c r="AI3" s="199" t="s">
        <v>561</v>
      </c>
      <c r="AJ3" s="199" t="s">
        <v>560</v>
      </c>
      <c r="AK3" s="199" t="s">
        <v>561</v>
      </c>
      <c r="AL3" s="199" t="s">
        <v>560</v>
      </c>
      <c r="AM3" s="199" t="s">
        <v>561</v>
      </c>
      <c r="AN3" s="199" t="s">
        <v>560</v>
      </c>
      <c r="AO3" s="199" t="s">
        <v>561</v>
      </c>
      <c r="AP3" s="199" t="s">
        <v>560</v>
      </c>
      <c r="AQ3" s="199" t="s">
        <v>561</v>
      </c>
      <c r="AR3" s="199" t="s">
        <v>560</v>
      </c>
      <c r="AS3" s="533"/>
      <c r="AU3" s="182" t="s">
        <v>561</v>
      </c>
      <c r="AV3" s="182" t="s">
        <v>560</v>
      </c>
      <c r="AW3" s="182" t="s">
        <v>566</v>
      </c>
      <c r="AX3" s="525"/>
      <c r="AY3" s="525"/>
    </row>
    <row r="4" spans="2:52" s="311" customFormat="1" hidden="1" x14ac:dyDescent="0.2">
      <c r="C4" s="434" t="s">
        <v>434</v>
      </c>
      <c r="D4" s="434" t="s">
        <v>447</v>
      </c>
      <c r="E4" s="434" t="s">
        <v>448</v>
      </c>
      <c r="F4" s="434" t="s">
        <v>449</v>
      </c>
      <c r="G4" s="434" t="s">
        <v>355</v>
      </c>
      <c r="H4" s="434" t="s">
        <v>295</v>
      </c>
      <c r="I4" s="434" t="s">
        <v>357</v>
      </c>
      <c r="J4" s="434" t="s">
        <v>358</v>
      </c>
      <c r="K4" s="434" t="s">
        <v>359</v>
      </c>
      <c r="L4" s="434" t="s">
        <v>294</v>
      </c>
      <c r="M4" s="434" t="s">
        <v>137</v>
      </c>
      <c r="N4" s="434" t="s">
        <v>138</v>
      </c>
      <c r="O4" s="434" t="s">
        <v>139</v>
      </c>
      <c r="P4" s="434" t="s">
        <v>356</v>
      </c>
      <c r="Q4" s="434" t="s">
        <v>296</v>
      </c>
      <c r="R4" s="434" t="s">
        <v>297</v>
      </c>
      <c r="S4" s="434" t="s">
        <v>298</v>
      </c>
      <c r="U4" s="434" t="s">
        <v>255</v>
      </c>
      <c r="V4" s="434" t="s">
        <v>256</v>
      </c>
      <c r="W4" s="434" t="s">
        <v>257</v>
      </c>
      <c r="X4" s="434" t="s">
        <v>262</v>
      </c>
      <c r="Y4" s="434" t="s">
        <v>263</v>
      </c>
      <c r="Z4" s="434" t="s">
        <v>258</v>
      </c>
      <c r="AA4" s="434" t="s">
        <v>259</v>
      </c>
      <c r="AB4" s="434" t="s">
        <v>260</v>
      </c>
      <c r="AC4" s="434" t="s">
        <v>261</v>
      </c>
      <c r="AD4" s="434" t="s">
        <v>135</v>
      </c>
      <c r="AE4" s="434" t="s">
        <v>136</v>
      </c>
      <c r="AF4" s="434" t="s">
        <v>264</v>
      </c>
      <c r="AG4" s="434" t="s">
        <v>265</v>
      </c>
      <c r="AH4" s="434" t="s">
        <v>266</v>
      </c>
      <c r="AI4" s="434" t="s">
        <v>267</v>
      </c>
      <c r="AJ4" s="434" t="s">
        <v>268</v>
      </c>
      <c r="AK4" s="434" t="s">
        <v>269</v>
      </c>
      <c r="AL4" s="434" t="s">
        <v>270</v>
      </c>
      <c r="AM4" s="434" t="s">
        <v>271</v>
      </c>
      <c r="AN4" s="434" t="s">
        <v>276</v>
      </c>
      <c r="AO4" s="434" t="s">
        <v>272</v>
      </c>
      <c r="AP4" s="434" t="s">
        <v>273</v>
      </c>
      <c r="AQ4" s="434" t="s">
        <v>274</v>
      </c>
      <c r="AR4" s="434" t="s">
        <v>275</v>
      </c>
      <c r="AS4" s="434" t="s">
        <v>100</v>
      </c>
      <c r="AU4" s="434" t="s">
        <v>132</v>
      </c>
      <c r="AV4" s="434" t="s">
        <v>133</v>
      </c>
      <c r="AW4" s="434" t="s">
        <v>93</v>
      </c>
      <c r="AX4" s="434" t="s">
        <v>94</v>
      </c>
      <c r="AY4" s="434" t="s">
        <v>95</v>
      </c>
    </row>
    <row r="5" spans="2:52" s="232" customFormat="1" x14ac:dyDescent="0.2">
      <c r="B5" s="276" t="s">
        <v>91</v>
      </c>
      <c r="C5" s="419">
        <f t="shared" ref="C5:K16" ca="1" si="0">IFERROR(INDIRECT("'"&amp;$B5&amp;"'!"&amp;C$4),"-")</f>
        <v>0.19241161764771936</v>
      </c>
      <c r="D5" s="419">
        <f t="shared" ca="1" si="0"/>
        <v>0.17940785421209729</v>
      </c>
      <c r="E5" s="419">
        <f t="shared" ca="1" si="0"/>
        <v>2.7063933435940702E-2</v>
      </c>
      <c r="F5" s="419">
        <f t="shared" ca="1" si="0"/>
        <v>4.8608383035076289E-3</v>
      </c>
      <c r="G5" s="343">
        <f t="shared" ca="1" si="0"/>
        <v>1.3898220098523546</v>
      </c>
      <c r="H5" s="417">
        <f t="shared" ca="1" si="0"/>
        <v>2838.2630576673801</v>
      </c>
      <c r="I5" s="417">
        <f t="shared" ca="1" si="0"/>
        <v>253.10322004133539</v>
      </c>
      <c r="J5" s="417">
        <f t="shared" ca="1" si="0"/>
        <v>271.44853949608307</v>
      </c>
      <c r="K5" s="417">
        <f t="shared" ca="1" si="0"/>
        <v>1421.8054486311669</v>
      </c>
      <c r="L5" s="417"/>
      <c r="M5" s="418">
        <f t="shared" ref="M5:S16" ca="1" si="1">IFERROR(INDIRECT("'"&amp;$B5&amp;"'!"&amp;M$4),"-")</f>
        <v>39.584039960529694</v>
      </c>
      <c r="N5" s="418">
        <f t="shared" ca="1" si="1"/>
        <v>36.90882991985864</v>
      </c>
      <c r="O5" s="418">
        <f t="shared" ca="1" si="1"/>
        <v>7.046567437127587</v>
      </c>
      <c r="P5" s="184">
        <f t="shared" ca="1" si="1"/>
        <v>5.5677501998803578</v>
      </c>
      <c r="Q5" s="418">
        <f t="shared" ca="1" si="1"/>
        <v>480.06049474090025</v>
      </c>
      <c r="R5" s="418">
        <f t="shared" ca="1" si="1"/>
        <v>443.15239337092828</v>
      </c>
      <c r="S5" s="184">
        <f t="shared" ca="1" si="1"/>
        <v>10.760270971756981</v>
      </c>
      <c r="U5" s="177">
        <f t="shared" ref="U5:AD16" ca="1" si="2">IF(ISBLANK(IFERROR(INDIRECT("'"&amp;$B5&amp;"'!"&amp;U$4),"-")),"-",IFERROR(INDIRECT("'"&amp;$B5&amp;"'!"&amp;U$4),"-"))</f>
        <v>0.05</v>
      </c>
      <c r="V5" s="177">
        <f t="shared" ca="1" si="2"/>
        <v>0.19</v>
      </c>
      <c r="W5" s="177">
        <f t="shared" ca="1" si="2"/>
        <v>0.5</v>
      </c>
      <c r="X5" s="279">
        <f t="shared" ca="1" si="2"/>
        <v>20</v>
      </c>
      <c r="Y5" s="177">
        <f t="shared" ca="1" si="2"/>
        <v>0.80800000000000005</v>
      </c>
      <c r="Z5" s="177">
        <f t="shared" ca="1" si="2"/>
        <v>0.30254930254930251</v>
      </c>
      <c r="AA5" s="177">
        <f t="shared" ca="1" si="2"/>
        <v>0.75</v>
      </c>
      <c r="AB5" s="177">
        <f t="shared" ca="1" si="2"/>
        <v>0.5</v>
      </c>
      <c r="AC5" s="416">
        <f t="shared" ca="1" si="2"/>
        <v>1.3333333333333333</v>
      </c>
      <c r="AD5" s="416">
        <f t="shared" ca="1" si="2"/>
        <v>2</v>
      </c>
      <c r="AE5" s="416">
        <f t="shared" ref="AE5:AS16" ca="1" si="3">IF(ISBLANK(IFERROR(INDIRECT("'"&amp;$B5&amp;"'!"&amp;AE$4),"-")),"-",IFERROR(INDIRECT("'"&amp;$B5&amp;"'!"&amp;AE$4),"-"))</f>
        <v>1</v>
      </c>
      <c r="AF5" s="279">
        <f t="shared" ca="1" si="3"/>
        <v>1.7608179999999999E-3</v>
      </c>
      <c r="AG5" s="279">
        <f t="shared" ca="1" si="3"/>
        <v>40</v>
      </c>
      <c r="AH5" s="177">
        <f t="shared" ca="1" si="3"/>
        <v>0.3</v>
      </c>
      <c r="AI5" s="177">
        <f t="shared" ca="1" si="3"/>
        <v>1</v>
      </c>
      <c r="AJ5" s="177">
        <f t="shared" ca="1" si="3"/>
        <v>1</v>
      </c>
      <c r="AK5" s="177">
        <f t="shared" ca="1" si="3"/>
        <v>1.17</v>
      </c>
      <c r="AL5" s="177">
        <f t="shared" ca="1" si="3"/>
        <v>1</v>
      </c>
      <c r="AM5" s="177">
        <f t="shared" ca="1" si="3"/>
        <v>0.66666666666666663</v>
      </c>
      <c r="AN5" s="177">
        <f t="shared" ca="1" si="3"/>
        <v>1</v>
      </c>
      <c r="AO5" s="177">
        <f t="shared" ca="1" si="3"/>
        <v>1</v>
      </c>
      <c r="AP5" s="177">
        <f t="shared" ca="1" si="3"/>
        <v>0.75</v>
      </c>
      <c r="AQ5" s="180">
        <f t="shared" ca="1" si="3"/>
        <v>0.51</v>
      </c>
      <c r="AR5" s="180">
        <f t="shared" ca="1" si="3"/>
        <v>0.5292</v>
      </c>
      <c r="AS5" s="177">
        <f t="shared" ca="1" si="3"/>
        <v>2</v>
      </c>
      <c r="AU5" s="181">
        <f t="shared" ref="AU5:AY16" ca="1" si="4">IF(ISBLANK(IFERROR(INDIRECT("'"&amp;$B5&amp;"'!"&amp;AU$4),"-")),"-",IFERROR(INDIRECT("'"&amp;$B5&amp;"'!"&amp;AU$4),"-"))</f>
        <v>3.4036796536796532E-2</v>
      </c>
      <c r="AV5" s="181">
        <f t="shared" ca="1" si="4"/>
        <v>3.4036796536796532E-2</v>
      </c>
      <c r="AW5" s="181">
        <f t="shared" ca="1" si="4"/>
        <v>3.4036796536796532E-2</v>
      </c>
      <c r="AX5" s="181">
        <f t="shared" ca="1" si="4"/>
        <v>0.05</v>
      </c>
      <c r="AY5" s="181" t="str">
        <f t="shared" ca="1" si="4"/>
        <v>Yes</v>
      </c>
    </row>
    <row r="6" spans="2:52" x14ac:dyDescent="0.2">
      <c r="B6" s="276" t="s">
        <v>90</v>
      </c>
      <c r="C6" s="419">
        <f t="shared" ca="1" si="0"/>
        <v>4.8590040116078703E-2</v>
      </c>
      <c r="D6" s="419">
        <f t="shared" ca="1" si="0"/>
        <v>5.5407116737323604E-2</v>
      </c>
      <c r="E6" s="419">
        <f t="shared" ca="1" si="0"/>
        <v>1.9522516229390954E-2</v>
      </c>
      <c r="F6" s="419">
        <f t="shared" ca="1" si="0"/>
        <v>4.203572262599261E-3</v>
      </c>
      <c r="G6" s="343">
        <f t="shared" ca="1" si="0"/>
        <v>1.2018949995414399</v>
      </c>
      <c r="H6" s="417">
        <f t="shared" ca="1" si="0"/>
        <v>2838.2630576673801</v>
      </c>
      <c r="I6" s="417">
        <f t="shared" ca="1" si="0"/>
        <v>2255.0917788549236</v>
      </c>
      <c r="J6" s="417">
        <f t="shared" ca="1" si="0"/>
        <v>1977.6340378705825</v>
      </c>
      <c r="K6" s="417">
        <f t="shared" ca="1" si="0"/>
        <v>2126.3537569002087</v>
      </c>
      <c r="L6" s="417"/>
      <c r="M6" s="418">
        <f t="shared" ca="1" si="1"/>
        <v>11.559225601615626</v>
      </c>
      <c r="N6" s="418">
        <f t="shared" ca="1" si="1"/>
        <v>13.180959735199806</v>
      </c>
      <c r="O6" s="418">
        <f t="shared" ca="1" si="1"/>
        <v>12.259067683137216</v>
      </c>
      <c r="P6" s="184">
        <f t="shared" ca="1" si="1"/>
        <v>4.644268020105188</v>
      </c>
      <c r="Q6" s="418" t="str">
        <f t="shared" ca="1" si="1"/>
        <v>N/A</v>
      </c>
      <c r="R6" s="418">
        <f t="shared" ca="1" si="1"/>
        <v>1.8709929775491787</v>
      </c>
      <c r="S6" s="184" t="str">
        <f t="shared" ca="1" si="1"/>
        <v>N/A</v>
      </c>
      <c r="U6" s="177">
        <f t="shared" ca="1" si="2"/>
        <v>0.05</v>
      </c>
      <c r="V6" s="177">
        <f t="shared" ca="1" si="2"/>
        <v>0.15</v>
      </c>
      <c r="W6" s="177">
        <f t="shared" ca="1" si="2"/>
        <v>0.5</v>
      </c>
      <c r="X6" s="71">
        <f t="shared" ca="1" si="2"/>
        <v>20</v>
      </c>
      <c r="Y6" s="177">
        <f t="shared" ca="1" si="2"/>
        <v>0.80800000000000005</v>
      </c>
      <c r="Z6" s="177">
        <f t="shared" ca="1" si="2"/>
        <v>0.6166666666666667</v>
      </c>
      <c r="AA6" s="177">
        <f t="shared" ca="1" si="2"/>
        <v>0.6</v>
      </c>
      <c r="AB6" s="177">
        <f t="shared" ca="1" si="2"/>
        <v>1</v>
      </c>
      <c r="AC6" s="416">
        <f t="shared" ca="1" si="2"/>
        <v>3</v>
      </c>
      <c r="AD6" s="416">
        <f t="shared" ca="1" si="2"/>
        <v>1.4426961458207845</v>
      </c>
      <c r="AE6" s="416">
        <f t="shared" ca="1" si="3"/>
        <v>1</v>
      </c>
      <c r="AF6" s="71">
        <f t="shared" ca="1" si="3"/>
        <v>1.7608179999999999E-3</v>
      </c>
      <c r="AG6" s="71">
        <f t="shared" ca="1" si="3"/>
        <v>40</v>
      </c>
      <c r="AH6" s="177">
        <f t="shared" ca="1" si="3"/>
        <v>0.3</v>
      </c>
      <c r="AI6" s="177">
        <f t="shared" ca="1" si="3"/>
        <v>0.21240000000000001</v>
      </c>
      <c r="AJ6" s="177">
        <f t="shared" ca="1" si="3"/>
        <v>0.25978306642315557</v>
      </c>
      <c r="AK6" s="177">
        <f t="shared" ca="1" si="3"/>
        <v>1</v>
      </c>
      <c r="AL6" s="177">
        <f t="shared" ca="1" si="3"/>
        <v>1</v>
      </c>
      <c r="AM6" s="177">
        <f t="shared" ca="1" si="3"/>
        <v>0.71</v>
      </c>
      <c r="AN6" s="177">
        <f t="shared" ca="1" si="3"/>
        <v>1</v>
      </c>
      <c r="AO6" s="177">
        <f t="shared" ca="1" si="3"/>
        <v>1</v>
      </c>
      <c r="AP6" s="177">
        <f t="shared" ca="1" si="3"/>
        <v>0.75</v>
      </c>
      <c r="AQ6" s="180">
        <f t="shared" ca="1" si="3"/>
        <v>0.63</v>
      </c>
      <c r="AR6" s="180">
        <f t="shared" ca="1" si="3"/>
        <v>0.72</v>
      </c>
      <c r="AS6" s="177">
        <f t="shared" ca="1" si="3"/>
        <v>4.2356453295757603</v>
      </c>
      <c r="AU6" s="181">
        <f t="shared" ca="1" si="4"/>
        <v>2.3576400000000001E-2</v>
      </c>
      <c r="AV6" s="181">
        <f t="shared" ca="1" si="4"/>
        <v>2.883592037297027E-2</v>
      </c>
      <c r="AW6" s="181">
        <f t="shared" ca="1" si="4"/>
        <v>2.6206160186485136E-2</v>
      </c>
      <c r="AX6" s="181">
        <f t="shared" ca="1" si="4"/>
        <v>0.05</v>
      </c>
      <c r="AY6" s="181" t="str">
        <f t="shared" ca="1" si="4"/>
        <v>No</v>
      </c>
    </row>
    <row r="7" spans="2:52" x14ac:dyDescent="0.2">
      <c r="B7" s="276" t="s">
        <v>83</v>
      </c>
      <c r="C7" s="419">
        <f t="shared" ca="1" si="0"/>
        <v>2.9308476124077033E-2</v>
      </c>
      <c r="D7" s="419">
        <f t="shared" ca="1" si="0"/>
        <v>1.2093679202081214E-2</v>
      </c>
      <c r="E7" s="419">
        <f t="shared" ca="1" si="0"/>
        <v>1.6238360061564417E-2</v>
      </c>
      <c r="F7" s="419">
        <f t="shared" ca="1" si="0"/>
        <v>3.8278959037495535E-3</v>
      </c>
      <c r="G7" s="343">
        <f t="shared" ca="1" si="0"/>
        <v>1.0944807554317879</v>
      </c>
      <c r="H7" s="417">
        <f t="shared" ca="1" si="0"/>
        <v>2838.2630576673801</v>
      </c>
      <c r="I7" s="417">
        <f t="shared" ca="1" si="0"/>
        <v>4984.906051801795</v>
      </c>
      <c r="J7" s="417">
        <f t="shared" ca="1" si="0"/>
        <v>12080.690876508244</v>
      </c>
      <c r="K7" s="417">
        <f t="shared" ca="1" si="0"/>
        <v>2443.8763277027656</v>
      </c>
      <c r="L7" s="417"/>
      <c r="M7" s="418">
        <f t="shared" ca="1" si="1"/>
        <v>7.6565499326584066</v>
      </c>
      <c r="N7" s="418">
        <f t="shared" ca="1" si="1"/>
        <v>3.1593542526156591</v>
      </c>
      <c r="O7" s="418">
        <f t="shared" ca="1" si="1"/>
        <v>15.617476900358751</v>
      </c>
      <c r="P7" s="184">
        <f t="shared" ca="1" si="1"/>
        <v>4.2421111936869531</v>
      </c>
      <c r="Q7" s="418">
        <f t="shared" ca="1" si="1"/>
        <v>36.030650246551446</v>
      </c>
      <c r="R7" s="418" t="str">
        <f t="shared" ca="1" si="1"/>
        <v>N/A</v>
      </c>
      <c r="S7" s="184" t="str">
        <f t="shared" ca="1" si="1"/>
        <v>N/A</v>
      </c>
      <c r="T7" s="70"/>
      <c r="U7" s="177">
        <f t="shared" ca="1" si="2"/>
        <v>0.05</v>
      </c>
      <c r="V7" s="177">
        <f t="shared" ca="1" si="2"/>
        <v>0.15</v>
      </c>
      <c r="W7" s="177">
        <f t="shared" ca="1" si="2"/>
        <v>0.4</v>
      </c>
      <c r="X7" s="71">
        <f t="shared" ca="1" si="2"/>
        <v>20</v>
      </c>
      <c r="Y7" s="177">
        <f t="shared" ca="1" si="2"/>
        <v>0.80800000000000005</v>
      </c>
      <c r="Z7" s="177">
        <f t="shared" ca="1" si="2"/>
        <v>0.54212454212454209</v>
      </c>
      <c r="AA7" s="177">
        <f t="shared" ca="1" si="2"/>
        <v>0.6</v>
      </c>
      <c r="AB7" s="177">
        <f t="shared" ca="1" si="2"/>
        <v>0.75</v>
      </c>
      <c r="AC7" s="416">
        <f t="shared" ca="1" si="2"/>
        <v>4</v>
      </c>
      <c r="AD7" s="416">
        <f t="shared" ca="1" si="2"/>
        <v>1.2</v>
      </c>
      <c r="AE7" s="416">
        <f t="shared" ca="1" si="3"/>
        <v>2</v>
      </c>
      <c r="AF7" s="71">
        <f t="shared" ca="1" si="3"/>
        <v>1.7608179999999999E-3</v>
      </c>
      <c r="AG7" s="71">
        <f t="shared" ca="1" si="3"/>
        <v>40</v>
      </c>
      <c r="AH7" s="177">
        <f t="shared" ca="1" si="3"/>
        <v>0.16600000000000001</v>
      </c>
      <c r="AI7" s="177">
        <f t="shared" ca="1" si="3"/>
        <v>0.25359999999999999</v>
      </c>
      <c r="AJ7" s="177">
        <f t="shared" ca="1" si="3"/>
        <v>0.18569134162665896</v>
      </c>
      <c r="AK7" s="177">
        <f t="shared" ca="1" si="3"/>
        <v>1.17</v>
      </c>
      <c r="AL7" s="177">
        <f t="shared" ca="1" si="3"/>
        <v>1</v>
      </c>
      <c r="AM7" s="177">
        <f t="shared" ca="1" si="3"/>
        <v>1</v>
      </c>
      <c r="AN7" s="177">
        <f t="shared" ca="1" si="3"/>
        <v>1</v>
      </c>
      <c r="AO7" s="177">
        <f t="shared" ca="1" si="3"/>
        <v>1</v>
      </c>
      <c r="AP7" s="177">
        <f t="shared" ca="1" si="3"/>
        <v>0.75</v>
      </c>
      <c r="AQ7" s="180">
        <f t="shared" ca="1" si="3"/>
        <v>0.75</v>
      </c>
      <c r="AR7" s="180">
        <f t="shared" ca="1" si="3"/>
        <v>0.90720000000000001</v>
      </c>
      <c r="AS7" s="177">
        <f t="shared" ca="1" si="3"/>
        <v>2</v>
      </c>
      <c r="AU7" s="181">
        <f t="shared" ca="1" si="4"/>
        <v>1.0269963956043956E-2</v>
      </c>
      <c r="AV7" s="181">
        <f t="shared" ca="1" si="4"/>
        <v>7.5198871666215779E-3</v>
      </c>
      <c r="AW7" s="181">
        <f t="shared" ca="1" si="4"/>
        <v>2.0248351648351648E-2</v>
      </c>
      <c r="AX7" s="181">
        <f t="shared" ca="1" si="4"/>
        <v>0.05</v>
      </c>
      <c r="AY7" s="181" t="str">
        <f t="shared" ca="1" si="4"/>
        <v>No</v>
      </c>
    </row>
    <row r="8" spans="2:52" x14ac:dyDescent="0.2">
      <c r="B8" s="276" t="s">
        <v>87</v>
      </c>
      <c r="C8" s="419">
        <f t="shared" ca="1" si="0"/>
        <v>3.9145617154604316E-2</v>
      </c>
      <c r="D8" s="419">
        <f t="shared" ca="1" si="0"/>
        <v>1.7060198648735907E-2</v>
      </c>
      <c r="E8" s="419" t="str">
        <f t="shared" ca="1" si="0"/>
        <v>-</v>
      </c>
      <c r="F8" s="419">
        <f t="shared" ca="1" si="0"/>
        <v>6.0794118307508785E-3</v>
      </c>
      <c r="G8" s="343">
        <f t="shared" ca="1" si="0"/>
        <v>1.7382393409871852</v>
      </c>
      <c r="H8" s="417">
        <f t="shared" ca="1" si="0"/>
        <v>2838.2630576673801</v>
      </c>
      <c r="I8" s="417">
        <f t="shared" ca="1" si="0"/>
        <v>2332.6366177690934</v>
      </c>
      <c r="J8" s="417">
        <f t="shared" ca="1" si="0"/>
        <v>5352.3702671988467</v>
      </c>
      <c r="K8" s="417">
        <f t="shared" ca="1" si="0"/>
        <v>1987.9304359459575</v>
      </c>
      <c r="L8" s="417"/>
      <c r="M8" s="418">
        <f t="shared" ca="1" si="1"/>
        <v>6.4390467769592394</v>
      </c>
      <c r="N8" s="418">
        <f t="shared" ca="1" si="1"/>
        <v>2.8062251947535479</v>
      </c>
      <c r="O8" s="418">
        <f t="shared" ca="1" si="1"/>
        <v>7.5555743922779328</v>
      </c>
      <c r="P8" s="184" t="str">
        <f t="shared" ca="1" si="1"/>
        <v>-</v>
      </c>
      <c r="Q8" s="418">
        <f t="shared" ca="1" si="1"/>
        <v>32.988139921676904</v>
      </c>
      <c r="R8" s="418" t="str">
        <f t="shared" ca="1" si="1"/>
        <v>N/A</v>
      </c>
      <c r="S8" s="184" t="str">
        <f t="shared" ca="1" si="1"/>
        <v>N/A</v>
      </c>
      <c r="U8" s="177">
        <f t="shared" ca="1" si="2"/>
        <v>0.05</v>
      </c>
      <c r="V8" s="177">
        <f t="shared" ca="1" si="2"/>
        <v>0.19</v>
      </c>
      <c r="W8" s="177">
        <f t="shared" ca="1" si="2"/>
        <v>0.5</v>
      </c>
      <c r="X8" s="71">
        <f t="shared" ca="1" si="2"/>
        <v>40</v>
      </c>
      <c r="Y8" s="177">
        <f t="shared" ca="1" si="2"/>
        <v>0.84499999999999997</v>
      </c>
      <c r="Z8" s="177">
        <f t="shared" ca="1" si="2"/>
        <v>0.54212454212454209</v>
      </c>
      <c r="AA8" s="177">
        <f t="shared" ca="1" si="2"/>
        <v>0.6</v>
      </c>
      <c r="AB8" s="177">
        <f t="shared" ca="1" si="2"/>
        <v>0.75</v>
      </c>
      <c r="AC8" s="416">
        <f t="shared" ca="1" si="2"/>
        <v>2.5</v>
      </c>
      <c r="AD8" s="416">
        <f t="shared" ca="1" si="2"/>
        <v>1.1000000000000001</v>
      </c>
      <c r="AE8" s="416">
        <f t="shared" ca="1" si="3"/>
        <v>2</v>
      </c>
      <c r="AF8" s="71">
        <f t="shared" ca="1" si="3"/>
        <v>1.7608179999999999E-3</v>
      </c>
      <c r="AG8" s="71">
        <f t="shared" ca="1" si="3"/>
        <v>40</v>
      </c>
      <c r="AH8" s="177">
        <f t="shared" ca="1" si="3"/>
        <v>0.3</v>
      </c>
      <c r="AI8" s="177">
        <f t="shared" ca="1" si="3"/>
        <v>0.25359999999999999</v>
      </c>
      <c r="AJ8" s="177">
        <f t="shared" ca="1" si="3"/>
        <v>0.18569134162665896</v>
      </c>
      <c r="AK8" s="177">
        <f t="shared" ca="1" si="3"/>
        <v>1.07</v>
      </c>
      <c r="AL8" s="177">
        <f t="shared" ca="1" si="3"/>
        <v>1</v>
      </c>
      <c r="AM8" s="177">
        <f t="shared" ca="1" si="3"/>
        <v>1</v>
      </c>
      <c r="AN8" s="177">
        <f t="shared" ca="1" si="3"/>
        <v>1</v>
      </c>
      <c r="AO8" s="177">
        <f t="shared" ca="1" si="3"/>
        <v>1</v>
      </c>
      <c r="AP8" s="177">
        <f t="shared" ca="1" si="3"/>
        <v>0.75</v>
      </c>
      <c r="AQ8" s="180">
        <f t="shared" ca="1" si="3"/>
        <v>0.75</v>
      </c>
      <c r="AR8" s="180">
        <f t="shared" ca="1" si="3"/>
        <v>0.90720000000000001</v>
      </c>
      <c r="AS8" s="177">
        <f t="shared" ca="1" si="3"/>
        <v>2</v>
      </c>
      <c r="AU8" s="181">
        <f t="shared" ca="1" si="4"/>
        <v>1.8560175824175823E-2</v>
      </c>
      <c r="AV8" s="181">
        <f t="shared" ca="1" si="4"/>
        <v>1.3590157530038996E-2</v>
      </c>
      <c r="AW8" s="181">
        <f t="shared" ca="1" si="4"/>
        <v>3.659340659340659E-2</v>
      </c>
      <c r="AX8" s="181">
        <f t="shared" ca="1" si="4"/>
        <v>0.05</v>
      </c>
      <c r="AY8" s="181" t="str">
        <f t="shared" ca="1" si="4"/>
        <v>No</v>
      </c>
    </row>
    <row r="9" spans="2:52" x14ac:dyDescent="0.2">
      <c r="B9" s="276" t="s">
        <v>89</v>
      </c>
      <c r="C9" s="419">
        <f t="shared" ca="1" si="0"/>
        <v>8.3446106610383194E-2</v>
      </c>
      <c r="D9" s="419">
        <f t="shared" ca="1" si="0"/>
        <v>3.3240635672739161E-2</v>
      </c>
      <c r="E9" s="419">
        <f t="shared" ca="1" si="0"/>
        <v>2.2229480621296548E-2</v>
      </c>
      <c r="F9" s="419">
        <f t="shared" ca="1" si="0"/>
        <v>5.5090835899129238E-3</v>
      </c>
      <c r="G9" s="343">
        <f t="shared" ca="1" si="0"/>
        <v>1.5751697853953079</v>
      </c>
      <c r="H9" s="417">
        <f t="shared" ca="1" si="0"/>
        <v>2838.2630576673801</v>
      </c>
      <c r="I9" s="417">
        <f t="shared" ca="1" si="0"/>
        <v>284.50997852841562</v>
      </c>
      <c r="J9" s="417">
        <f t="shared" ca="1" si="0"/>
        <v>714.22370600061481</v>
      </c>
      <c r="K9" s="417">
        <f t="shared" ca="1" si="0"/>
        <v>690.18465653073258</v>
      </c>
      <c r="L9" s="417"/>
      <c r="M9" s="418">
        <f t="shared" ca="1" si="1"/>
        <v>15.147003171847341</v>
      </c>
      <c r="N9" s="418">
        <f t="shared" ca="1" si="1"/>
        <v>6.0337867687472428</v>
      </c>
      <c r="O9" s="418">
        <f t="shared" ca="1" si="1"/>
        <v>6.2439428440122642</v>
      </c>
      <c r="P9" s="184">
        <f t="shared" ca="1" si="1"/>
        <v>4.0350595990226941</v>
      </c>
      <c r="Q9" s="418">
        <f t="shared" ca="1" si="1"/>
        <v>89.061068412160864</v>
      </c>
      <c r="R9" s="418" t="str">
        <f t="shared" ca="1" si="1"/>
        <v>N/A</v>
      </c>
      <c r="S9" s="184" t="str">
        <f t="shared" ca="1" si="1"/>
        <v>N/A</v>
      </c>
      <c r="U9" s="177">
        <f t="shared" ca="1" si="2"/>
        <v>0.05</v>
      </c>
      <c r="V9" s="177">
        <f t="shared" ca="1" si="2"/>
        <v>0.23</v>
      </c>
      <c r="W9" s="177">
        <f t="shared" ca="1" si="2"/>
        <v>0.5</v>
      </c>
      <c r="X9" s="71">
        <f t="shared" ca="1" si="2"/>
        <v>20</v>
      </c>
      <c r="Y9" s="177">
        <f t="shared" ca="1" si="2"/>
        <v>0.80800000000000005</v>
      </c>
      <c r="Z9" s="177">
        <f t="shared" ca="1" si="2"/>
        <v>0.56060606060606055</v>
      </c>
      <c r="AA9" s="177">
        <f t="shared" ca="1" si="2"/>
        <v>0.5</v>
      </c>
      <c r="AB9" s="177">
        <f t="shared" ca="1" si="2"/>
        <v>1</v>
      </c>
      <c r="AC9" s="416">
        <f t="shared" ca="1" si="2"/>
        <v>0.65</v>
      </c>
      <c r="AD9" s="416">
        <f t="shared" ca="1" si="2"/>
        <v>2</v>
      </c>
      <c r="AE9" s="416">
        <f t="shared" ca="1" si="3"/>
        <v>2</v>
      </c>
      <c r="AF9" s="71">
        <f t="shared" ca="1" si="3"/>
        <v>1.8268850000000001E-3</v>
      </c>
      <c r="AG9" s="71">
        <f t="shared" ca="1" si="3"/>
        <v>25</v>
      </c>
      <c r="AH9" s="177">
        <f t="shared" ca="1" si="3"/>
        <v>0.3</v>
      </c>
      <c r="AI9" s="177">
        <f t="shared" ca="1" si="3"/>
        <v>0.24809999999999999</v>
      </c>
      <c r="AJ9" s="177">
        <f t="shared" ca="1" si="3"/>
        <v>0.12267414402938018</v>
      </c>
      <c r="AK9" s="177">
        <f t="shared" ca="1" si="3"/>
        <v>1.17</v>
      </c>
      <c r="AL9" s="177">
        <f t="shared" ca="1" si="3"/>
        <v>1</v>
      </c>
      <c r="AM9" s="177">
        <f t="shared" ca="1" si="3"/>
        <v>0.77</v>
      </c>
      <c r="AN9" s="177">
        <f t="shared" ca="1" si="3"/>
        <v>1</v>
      </c>
      <c r="AO9" s="177">
        <f t="shared" ca="1" si="3"/>
        <v>1</v>
      </c>
      <c r="AP9" s="177">
        <f t="shared" ca="1" si="3"/>
        <v>0.75</v>
      </c>
      <c r="AQ9" s="180">
        <f t="shared" ca="1" si="3"/>
        <v>0.51</v>
      </c>
      <c r="AR9" s="180">
        <f t="shared" ca="1" si="3"/>
        <v>0.5292</v>
      </c>
      <c r="AS9" s="177">
        <f t="shared" ca="1" si="3"/>
        <v>2</v>
      </c>
      <c r="AU9" s="181">
        <f t="shared" ca="1" si="4"/>
        <v>2.0862954545454542E-2</v>
      </c>
      <c r="AV9" s="181">
        <f t="shared" ca="1" si="4"/>
        <v>1.0315780293379696E-2</v>
      </c>
      <c r="AW9" s="181">
        <f t="shared" ca="1" si="4"/>
        <v>4.2045454545454539E-2</v>
      </c>
      <c r="AX9" s="181">
        <f t="shared" ca="1" si="4"/>
        <v>0.05</v>
      </c>
      <c r="AY9" s="181" t="str">
        <f t="shared" ca="1" si="4"/>
        <v>No</v>
      </c>
    </row>
    <row r="10" spans="2:52" x14ac:dyDescent="0.2">
      <c r="B10" s="276" t="s">
        <v>84</v>
      </c>
      <c r="C10" s="419">
        <f t="shared" ca="1" si="0"/>
        <v>3.7268819214350976E-2</v>
      </c>
      <c r="D10" s="419">
        <f t="shared" ca="1" si="0"/>
        <v>2.634827627193375E-2</v>
      </c>
      <c r="E10" s="419">
        <f t="shared" ca="1" si="0"/>
        <v>1.5282767927141377E-2</v>
      </c>
      <c r="F10" s="419">
        <f t="shared" ca="1" si="0"/>
        <v>3.3689147631398297E-3</v>
      </c>
      <c r="G10" s="343">
        <f t="shared" ca="1" si="0"/>
        <v>0.96324781751113819</v>
      </c>
      <c r="H10" s="417">
        <f t="shared" ca="1" si="0"/>
        <v>2838.2630576673801</v>
      </c>
      <c r="I10" s="417">
        <f t="shared" ca="1" si="0"/>
        <v>2940.1253463325811</v>
      </c>
      <c r="J10" s="417">
        <f t="shared" ca="1" si="0"/>
        <v>4158.7160719397643</v>
      </c>
      <c r="K10" s="417">
        <f t="shared" ca="1" si="0"/>
        <v>1837.6656272262778</v>
      </c>
      <c r="L10" s="417"/>
      <c r="M10" s="418">
        <f t="shared" ca="1" si="1"/>
        <v>11.06255926155176</v>
      </c>
      <c r="N10" s="418">
        <f t="shared" ca="1" si="1"/>
        <v>7.820998192123195</v>
      </c>
      <c r="O10" s="418">
        <f t="shared" ca="1" si="1"/>
        <v>17.699254096234789</v>
      </c>
      <c r="P10" s="184">
        <f t="shared" ca="1" si="1"/>
        <v>4.5364068258283368</v>
      </c>
      <c r="Q10" s="418">
        <f t="shared" ca="1" si="1"/>
        <v>46.115811206359105</v>
      </c>
      <c r="R10" s="418">
        <f t="shared" ca="1" si="1"/>
        <v>15.120437603226058</v>
      </c>
      <c r="S10" s="184" t="str">
        <f t="shared" ca="1" si="1"/>
        <v>N/A</v>
      </c>
      <c r="U10" s="177">
        <f t="shared" ca="1" si="2"/>
        <v>0.05</v>
      </c>
      <c r="V10" s="177">
        <f t="shared" ca="1" si="2"/>
        <v>0.1</v>
      </c>
      <c r="W10" s="177">
        <f t="shared" ca="1" si="2"/>
        <v>0.5</v>
      </c>
      <c r="X10" s="71">
        <f t="shared" ca="1" si="2"/>
        <v>20</v>
      </c>
      <c r="Y10" s="177">
        <f t="shared" ca="1" si="2"/>
        <v>0.80800000000000005</v>
      </c>
      <c r="Z10" s="177">
        <f t="shared" ca="1" si="2"/>
        <v>0.50410052910052916</v>
      </c>
      <c r="AA10" s="177">
        <f t="shared" ca="1" si="2"/>
        <v>0.6</v>
      </c>
      <c r="AB10" s="177">
        <f t="shared" ca="1" si="2"/>
        <v>0.75</v>
      </c>
      <c r="AC10" s="416">
        <f t="shared" ca="1" si="2"/>
        <v>3</v>
      </c>
      <c r="AD10" s="416">
        <f t="shared" ca="1" si="2"/>
        <v>1.1000000000000001</v>
      </c>
      <c r="AE10" s="416">
        <f t="shared" ca="1" si="3"/>
        <v>2</v>
      </c>
      <c r="AF10" s="71">
        <f t="shared" ca="1" si="3"/>
        <v>1.7608179999999999E-3</v>
      </c>
      <c r="AG10" s="71">
        <f t="shared" ca="1" si="3"/>
        <v>25</v>
      </c>
      <c r="AH10" s="177">
        <f t="shared" ca="1" si="3"/>
        <v>0.3</v>
      </c>
      <c r="AI10" s="177">
        <f t="shared" ca="1" si="3"/>
        <v>0.25359999999999999</v>
      </c>
      <c r="AJ10" s="177">
        <f t="shared" ca="1" si="3"/>
        <v>0.18569134162665896</v>
      </c>
      <c r="AK10" s="177">
        <f t="shared" ca="1" si="3"/>
        <v>1.07</v>
      </c>
      <c r="AL10" s="177">
        <f t="shared" ca="1" si="3"/>
        <v>1</v>
      </c>
      <c r="AM10" s="177">
        <f t="shared" ca="1" si="3"/>
        <v>0.81</v>
      </c>
      <c r="AN10" s="177">
        <f t="shared" ca="1" si="3"/>
        <v>1</v>
      </c>
      <c r="AO10" s="177">
        <f t="shared" ca="1" si="3"/>
        <v>1</v>
      </c>
      <c r="AP10" s="177">
        <f t="shared" ca="1" si="3"/>
        <v>0.85</v>
      </c>
      <c r="AQ10" s="180">
        <f t="shared" ca="1" si="3"/>
        <v>0.51</v>
      </c>
      <c r="AR10" s="180">
        <f t="shared" ca="1" si="3"/>
        <v>0.5292</v>
      </c>
      <c r="AS10" s="177">
        <f t="shared" ca="1" si="3"/>
        <v>1</v>
      </c>
      <c r="AU10" s="181">
        <f t="shared" ca="1" si="4"/>
        <v>1.7258385714285712E-2</v>
      </c>
      <c r="AV10" s="181">
        <f t="shared" ca="1" si="4"/>
        <v>1.2636958981057093E-2</v>
      </c>
      <c r="AW10" s="181">
        <f t="shared" ca="1" si="4"/>
        <v>6.8053571428571422E-2</v>
      </c>
      <c r="AX10" s="181">
        <f t="shared" ca="1" si="4"/>
        <v>0.05</v>
      </c>
      <c r="AY10" s="181" t="str">
        <f t="shared" ca="1" si="4"/>
        <v>No</v>
      </c>
    </row>
    <row r="11" spans="2:52" s="232" customFormat="1" x14ac:dyDescent="0.2">
      <c r="B11" s="276" t="s">
        <v>98</v>
      </c>
      <c r="C11" s="419">
        <f t="shared" ca="1" si="0"/>
        <v>1.9179721403001202E-2</v>
      </c>
      <c r="D11" s="419">
        <f t="shared" ca="1" si="0"/>
        <v>5.8064394176717913E-3</v>
      </c>
      <c r="E11" s="419" t="str">
        <f t="shared" ca="1" si="0"/>
        <v>-</v>
      </c>
      <c r="F11" s="419">
        <f t="shared" ca="1" si="0"/>
        <v>4.2079816962157096E-3</v>
      </c>
      <c r="G11" s="343">
        <f t="shared" ca="1" si="0"/>
        <v>1.2031557548903065</v>
      </c>
      <c r="H11" s="417">
        <f t="shared" ca="1" si="0"/>
        <v>2838.2630576673801</v>
      </c>
      <c r="I11" s="417">
        <f t="shared" ca="1" si="0"/>
        <v>1876.805793070024</v>
      </c>
      <c r="J11" s="417">
        <f t="shared" ca="1" si="0"/>
        <v>6199.4295728061434</v>
      </c>
      <c r="K11" s="417">
        <f t="shared" ca="1" si="0"/>
        <v>2153.0743262141623</v>
      </c>
      <c r="L11" s="417"/>
      <c r="M11" s="418">
        <f t="shared" ca="1" si="1"/>
        <v>4.5579384102953124</v>
      </c>
      <c r="N11" s="418">
        <f t="shared" ca="1" si="1"/>
        <v>1.3798632781348823</v>
      </c>
      <c r="O11" s="418">
        <f t="shared" ca="1" si="1"/>
        <v>3.9730933153339412</v>
      </c>
      <c r="P11" s="184" t="str">
        <f t="shared" ca="1" si="1"/>
        <v>-</v>
      </c>
      <c r="Q11" s="418">
        <f t="shared" ca="1" si="1"/>
        <v>31.526159614759905</v>
      </c>
      <c r="R11" s="418" t="str">
        <f t="shared" ca="1" si="1"/>
        <v>N/A</v>
      </c>
      <c r="S11" s="184" t="str">
        <f t="shared" ca="1" si="1"/>
        <v>N/A</v>
      </c>
      <c r="U11" s="177">
        <f t="shared" ca="1" si="2"/>
        <v>0.05</v>
      </c>
      <c r="V11" s="177">
        <f t="shared" ca="1" si="2"/>
        <v>0.19</v>
      </c>
      <c r="W11" s="177">
        <f t="shared" ca="1" si="2"/>
        <v>0.4</v>
      </c>
      <c r="X11" s="279">
        <f t="shared" ca="1" si="2"/>
        <v>15</v>
      </c>
      <c r="Y11" s="177">
        <f t="shared" ca="1" si="2"/>
        <v>0.84499999999999997</v>
      </c>
      <c r="Z11" s="177">
        <f t="shared" ca="1" si="2"/>
        <v>0.54212454212454209</v>
      </c>
      <c r="AA11" s="177">
        <f t="shared" ca="1" si="2"/>
        <v>0.6</v>
      </c>
      <c r="AB11" s="177">
        <f t="shared" ca="1" si="2"/>
        <v>0.5</v>
      </c>
      <c r="AC11" s="416">
        <f t="shared" ca="1" si="2"/>
        <v>0.98553353151599676</v>
      </c>
      <c r="AD11" s="416">
        <f t="shared" ca="1" si="2"/>
        <v>1.2</v>
      </c>
      <c r="AE11" s="416">
        <f t="shared" ca="1" si="3"/>
        <v>2</v>
      </c>
      <c r="AF11" s="279">
        <f t="shared" ca="1" si="3"/>
        <v>1.8268850000000001E-3</v>
      </c>
      <c r="AG11" s="279">
        <f t="shared" ca="1" si="3"/>
        <v>15</v>
      </c>
      <c r="AH11" s="177">
        <f t="shared" ca="1" si="3"/>
        <v>0.2</v>
      </c>
      <c r="AI11" s="177">
        <f t="shared" ca="1" si="3"/>
        <v>0.29099999999999998</v>
      </c>
      <c r="AJ11" s="177">
        <f t="shared" ca="1" si="3"/>
        <v>0.14599999999999999</v>
      </c>
      <c r="AK11" s="177">
        <f t="shared" ca="1" si="3"/>
        <v>1.08</v>
      </c>
      <c r="AL11" s="177">
        <f t="shared" ca="1" si="3"/>
        <v>1</v>
      </c>
      <c r="AM11" s="177">
        <f t="shared" ca="1" si="3"/>
        <v>1.2</v>
      </c>
      <c r="AN11" s="177">
        <f t="shared" ca="1" si="3"/>
        <v>1.3</v>
      </c>
      <c r="AO11" s="177">
        <f t="shared" ca="1" si="3"/>
        <v>1</v>
      </c>
      <c r="AP11" s="177">
        <f t="shared" ca="1" si="3"/>
        <v>0.8</v>
      </c>
      <c r="AQ11" s="180">
        <f t="shared" ca="1" si="3"/>
        <v>0.64400000000000002</v>
      </c>
      <c r="AR11" s="180">
        <f t="shared" ca="1" si="3"/>
        <v>0.88</v>
      </c>
      <c r="AS11" s="177">
        <f t="shared" ca="1" si="3"/>
        <v>2</v>
      </c>
      <c r="AU11" s="181">
        <f t="shared" ca="1" si="4"/>
        <v>9.4654945054945035E-3</v>
      </c>
      <c r="AV11" s="181">
        <f t="shared" ca="1" si="4"/>
        <v>4.7490109890109882E-3</v>
      </c>
      <c r="AW11" s="181">
        <f t="shared" ca="1" si="4"/>
        <v>1.6263736263736263E-2</v>
      </c>
      <c r="AX11" s="181">
        <f t="shared" ca="1" si="4"/>
        <v>0.05</v>
      </c>
      <c r="AY11" s="181" t="str">
        <f t="shared" ca="1" si="4"/>
        <v>No</v>
      </c>
    </row>
    <row r="12" spans="2:52" s="232" customFormat="1" x14ac:dyDescent="0.2">
      <c r="B12" s="276" t="s">
        <v>99</v>
      </c>
      <c r="C12" s="419">
        <f t="shared" ca="1" si="0"/>
        <v>4.372087339931327E-2</v>
      </c>
      <c r="D12" s="419">
        <f t="shared" ca="1" si="0"/>
        <v>2.1394871704605904E-2</v>
      </c>
      <c r="E12" s="419" t="str">
        <f t="shared" ca="1" si="0"/>
        <v>-</v>
      </c>
      <c r="F12" s="419">
        <f t="shared" ca="1" si="0"/>
        <v>6.1510462233579054E-3</v>
      </c>
      <c r="G12" s="343">
        <f t="shared" ca="1" si="0"/>
        <v>1.7587212104284724</v>
      </c>
      <c r="H12" s="417">
        <f t="shared" ca="1" si="0"/>
        <v>2838.2630576673801</v>
      </c>
      <c r="I12" s="417">
        <f t="shared" ca="1" si="0"/>
        <v>1670.826640008235</v>
      </c>
      <c r="J12" s="417">
        <f t="shared" ca="1" si="0"/>
        <v>3414.3696213085377</v>
      </c>
      <c r="K12" s="417">
        <f t="shared" ca="1" si="0"/>
        <v>1521.4804636235235</v>
      </c>
      <c r="L12" s="417"/>
      <c r="M12" s="418">
        <f t="shared" ca="1" si="1"/>
        <v>7.1078759306487047</v>
      </c>
      <c r="N12" s="418">
        <f t="shared" ca="1" si="1"/>
        <v>3.4782492161026668</v>
      </c>
      <c r="O12" s="418">
        <f t="shared" ca="1" si="1"/>
        <v>7.8055740725828979</v>
      </c>
      <c r="P12" s="184" t="str">
        <f t="shared" ca="1" si="1"/>
        <v>-</v>
      </c>
      <c r="Q12" s="418" t="str">
        <f t="shared" ca="1" si="1"/>
        <v>N/A</v>
      </c>
      <c r="R12" s="418" t="str">
        <f t="shared" ca="1" si="1"/>
        <v>N/A</v>
      </c>
      <c r="S12" s="184" t="str">
        <f t="shared" ca="1" si="1"/>
        <v>N/A</v>
      </c>
      <c r="U12" s="177">
        <f t="shared" ca="1" si="2"/>
        <v>0.03</v>
      </c>
      <c r="V12" s="177">
        <f t="shared" ca="1" si="2"/>
        <v>0.2</v>
      </c>
      <c r="W12" s="177">
        <f t="shared" ca="1" si="2"/>
        <v>0.5</v>
      </c>
      <c r="X12" s="279">
        <f t="shared" ca="1" si="2"/>
        <v>20</v>
      </c>
      <c r="Y12" s="177">
        <f t="shared" ca="1" si="2"/>
        <v>0.84499999999999997</v>
      </c>
      <c r="Z12" s="177">
        <f t="shared" ca="1" si="2"/>
        <v>0.6</v>
      </c>
      <c r="AA12" s="177">
        <f t="shared" ca="1" si="2"/>
        <v>0.4</v>
      </c>
      <c r="AB12" s="177">
        <f t="shared" ca="1" si="2"/>
        <v>0.75</v>
      </c>
      <c r="AC12" s="416">
        <f t="shared" ca="1" si="2"/>
        <v>2</v>
      </c>
      <c r="AD12" s="416">
        <f t="shared" ca="1" si="2"/>
        <v>2</v>
      </c>
      <c r="AE12" s="416">
        <f t="shared" ca="1" si="3"/>
        <v>2</v>
      </c>
      <c r="AF12" s="279">
        <f t="shared" ca="1" si="3"/>
        <v>1.7608179999999999E-3</v>
      </c>
      <c r="AG12" s="279">
        <f t="shared" ca="1" si="3"/>
        <v>25</v>
      </c>
      <c r="AH12" s="177">
        <f t="shared" ca="1" si="3"/>
        <v>0.3</v>
      </c>
      <c r="AI12" s="177">
        <f t="shared" ca="1" si="3"/>
        <v>0.25359999999999999</v>
      </c>
      <c r="AJ12" s="177">
        <f t="shared" ca="1" si="3"/>
        <v>0.18569134162665896</v>
      </c>
      <c r="AK12" s="177">
        <f t="shared" ca="1" si="3"/>
        <v>1</v>
      </c>
      <c r="AL12" s="177">
        <f t="shared" ca="1" si="3"/>
        <v>1</v>
      </c>
      <c r="AM12" s="177">
        <f t="shared" ca="1" si="3"/>
        <v>0.77</v>
      </c>
      <c r="AN12" s="177">
        <f t="shared" ca="1" si="3"/>
        <v>0.77</v>
      </c>
      <c r="AO12" s="177">
        <f t="shared" ca="1" si="3"/>
        <v>1</v>
      </c>
      <c r="AP12" s="177">
        <f t="shared" ca="1" si="3"/>
        <v>0.8</v>
      </c>
      <c r="AQ12" s="180">
        <f t="shared" ca="1" si="3"/>
        <v>0.75</v>
      </c>
      <c r="AR12" s="180">
        <f t="shared" ca="1" si="3"/>
        <v>0.90720000000000001</v>
      </c>
      <c r="AS12" s="177">
        <f t="shared" ca="1" si="3"/>
        <v>2</v>
      </c>
      <c r="AU12" s="181">
        <f t="shared" ca="1" si="4"/>
        <v>1.3694399999999999E-2</v>
      </c>
      <c r="AV12" s="181">
        <f t="shared" ca="1" si="4"/>
        <v>1.0027332447839583E-2</v>
      </c>
      <c r="AW12" s="181">
        <f t="shared" ca="1" si="4"/>
        <v>2.7E-2</v>
      </c>
      <c r="AX12" s="181">
        <f t="shared" ca="1" si="4"/>
        <v>0.05</v>
      </c>
      <c r="AY12" s="181" t="str">
        <f t="shared" ca="1" si="4"/>
        <v>No</v>
      </c>
    </row>
    <row r="13" spans="2:52" x14ac:dyDescent="0.2">
      <c r="B13" s="276" t="s">
        <v>86</v>
      </c>
      <c r="C13" s="419">
        <f t="shared" ca="1" si="0"/>
        <v>9.0067849648247725E-2</v>
      </c>
      <c r="D13" s="419">
        <f t="shared" ca="1" si="0"/>
        <v>3.916032720271781E-2</v>
      </c>
      <c r="E13" s="419" t="str">
        <f t="shared" ca="1" si="0"/>
        <v>-</v>
      </c>
      <c r="F13" s="419">
        <f t="shared" ca="1" si="0"/>
        <v>4.8721497747127342E-3</v>
      </c>
      <c r="G13" s="343">
        <f t="shared" ca="1" si="0"/>
        <v>1.3930562115811638</v>
      </c>
      <c r="H13" s="417">
        <f t="shared" ca="1" si="0"/>
        <v>2838.2630576673801</v>
      </c>
      <c r="I13" s="417">
        <f t="shared" ca="1" si="0"/>
        <v>1216.582836472013</v>
      </c>
      <c r="J13" s="417">
        <f t="shared" ca="1" si="0"/>
        <v>2798.1124731867735</v>
      </c>
      <c r="K13" s="417">
        <f t="shared" ca="1" si="0"/>
        <v>1278.4332480675896</v>
      </c>
      <c r="L13" s="417"/>
      <c r="M13" s="418">
        <f t="shared" ca="1" si="1"/>
        <v>18.486264547061918</v>
      </c>
      <c r="N13" s="418">
        <f t="shared" ca="1" si="1"/>
        <v>8.0375868997226654</v>
      </c>
      <c r="O13" s="418">
        <f t="shared" ca="1" si="1"/>
        <v>17.591901800450959</v>
      </c>
      <c r="P13" s="184" t="str">
        <f t="shared" ca="1" si="1"/>
        <v>-</v>
      </c>
      <c r="Q13" s="418" t="str">
        <f t="shared" ca="1" si="1"/>
        <v>N/A</v>
      </c>
      <c r="R13" s="418" t="str">
        <f t="shared" ca="1" si="1"/>
        <v>N/A</v>
      </c>
      <c r="S13" s="184" t="str">
        <f t="shared" ca="1" si="1"/>
        <v>N/A</v>
      </c>
      <c r="U13" s="177">
        <f t="shared" ca="1" si="2"/>
        <v>0.01</v>
      </c>
      <c r="V13" s="177">
        <f t="shared" ca="1" si="2"/>
        <v>0.1</v>
      </c>
      <c r="W13" s="177">
        <f t="shared" ca="1" si="2"/>
        <v>0.5</v>
      </c>
      <c r="X13" s="71">
        <f t="shared" ca="1" si="2"/>
        <v>20</v>
      </c>
      <c r="Y13" s="177">
        <f t="shared" ca="1" si="2"/>
        <v>0.84499999999999997</v>
      </c>
      <c r="Z13" s="177">
        <f t="shared" ca="1" si="2"/>
        <v>0.56060606060606055</v>
      </c>
      <c r="AA13" s="177">
        <f t="shared" ca="1" si="2"/>
        <v>0.6</v>
      </c>
      <c r="AB13" s="177">
        <f t="shared" ca="1" si="2"/>
        <v>1</v>
      </c>
      <c r="AC13" s="416">
        <f t="shared" ca="1" si="2"/>
        <v>3</v>
      </c>
      <c r="AD13" s="416">
        <f t="shared" ca="1" si="2"/>
        <v>1.5</v>
      </c>
      <c r="AE13" s="416">
        <f t="shared" ca="1" si="3"/>
        <v>2</v>
      </c>
      <c r="AF13" s="71">
        <f t="shared" ca="1" si="3"/>
        <v>1.7608179999999999E-3</v>
      </c>
      <c r="AG13" s="71">
        <f t="shared" ca="1" si="3"/>
        <v>25</v>
      </c>
      <c r="AH13" s="177">
        <f t="shared" ca="1" si="3"/>
        <v>0.3</v>
      </c>
      <c r="AI13" s="177">
        <f t="shared" ca="1" si="3"/>
        <v>0.25359999999999999</v>
      </c>
      <c r="AJ13" s="177">
        <f t="shared" ca="1" si="3"/>
        <v>0.18569134162665896</v>
      </c>
      <c r="AK13" s="177">
        <f t="shared" ca="1" si="3"/>
        <v>1</v>
      </c>
      <c r="AL13" s="177">
        <f t="shared" ca="1" si="3"/>
        <v>1</v>
      </c>
      <c r="AM13" s="177">
        <f t="shared" ca="1" si="3"/>
        <v>0.81</v>
      </c>
      <c r="AN13" s="177">
        <f t="shared" ca="1" si="3"/>
        <v>1</v>
      </c>
      <c r="AO13" s="177">
        <f t="shared" ca="1" si="3"/>
        <v>1</v>
      </c>
      <c r="AP13" s="177">
        <f t="shared" ca="1" si="3"/>
        <v>0.75</v>
      </c>
      <c r="AQ13" s="180">
        <f t="shared" ca="1" si="3"/>
        <v>0.8</v>
      </c>
      <c r="AR13" s="180">
        <f t="shared" ca="1" si="3"/>
        <v>1.26</v>
      </c>
      <c r="AS13" s="177">
        <f t="shared" ca="1" si="3"/>
        <v>2</v>
      </c>
      <c r="AU13" s="181">
        <f t="shared" ca="1" si="4"/>
        <v>2.5590545454545449E-2</v>
      </c>
      <c r="AV13" s="181">
        <f t="shared" ca="1" si="4"/>
        <v>1.8737944473235582E-2</v>
      </c>
      <c r="AW13" s="181">
        <f t="shared" ca="1" si="4"/>
        <v>5.0454545454545446E-2</v>
      </c>
      <c r="AX13" s="181">
        <f t="shared" ca="1" si="4"/>
        <v>0.05</v>
      </c>
      <c r="AY13" s="181" t="str">
        <f t="shared" ca="1" si="4"/>
        <v>No</v>
      </c>
    </row>
    <row r="14" spans="2:52" x14ac:dyDescent="0.2">
      <c r="B14" s="276" t="s">
        <v>85</v>
      </c>
      <c r="C14" s="419">
        <f t="shared" ca="1" si="0"/>
        <v>5.3096691487920199E-2</v>
      </c>
      <c r="D14" s="419">
        <f t="shared" ca="1" si="0"/>
        <v>2.7535176877667874E-2</v>
      </c>
      <c r="E14" s="419">
        <f t="shared" ca="1" si="0"/>
        <v>3.6604717930108041E-2</v>
      </c>
      <c r="F14" s="419">
        <f t="shared" ca="1" si="0"/>
        <v>4.8608383035076289E-3</v>
      </c>
      <c r="G14" s="343">
        <f t="shared" ca="1" si="0"/>
        <v>1.3898220098523546</v>
      </c>
      <c r="H14" s="417">
        <f t="shared" ca="1" si="0"/>
        <v>2838.2630576673801</v>
      </c>
      <c r="I14" s="417">
        <f t="shared" ca="1" si="0"/>
        <v>2235.6618966928731</v>
      </c>
      <c r="J14" s="417">
        <f t="shared" ca="1" si="0"/>
        <v>4311.0763561600907</v>
      </c>
      <c r="K14" s="417">
        <f t="shared" ca="1" si="0"/>
        <v>1728.2954604020422</v>
      </c>
      <c r="L14" s="417"/>
      <c r="M14" s="418">
        <f t="shared" ca="1" si="1"/>
        <v>10.923360986849758</v>
      </c>
      <c r="N14" s="418">
        <f t="shared" ca="1" si="1"/>
        <v>5.6646971485964093</v>
      </c>
      <c r="O14" s="418">
        <f t="shared" ca="1" si="1"/>
        <v>14.130073532936654</v>
      </c>
      <c r="P14" s="184">
        <f t="shared" ca="1" si="1"/>
        <v>7.5305360196190261</v>
      </c>
      <c r="Q14" s="418">
        <f t="shared" ca="1" si="1"/>
        <v>74.465360531131239</v>
      </c>
      <c r="R14" s="418">
        <f t="shared" ca="1" si="1"/>
        <v>1.9150579148270594</v>
      </c>
      <c r="S14" s="184">
        <f t="shared" ca="1" si="1"/>
        <v>27.656801233965723</v>
      </c>
      <c r="U14" s="177">
        <f t="shared" ca="1" si="2"/>
        <v>0.05</v>
      </c>
      <c r="V14" s="177">
        <f t="shared" ca="1" si="2"/>
        <v>0.19</v>
      </c>
      <c r="W14" s="177">
        <f t="shared" ca="1" si="2"/>
        <v>0.5</v>
      </c>
      <c r="X14" s="71">
        <f t="shared" ca="1" si="2"/>
        <v>20</v>
      </c>
      <c r="Y14" s="177">
        <f t="shared" ca="1" si="2"/>
        <v>0.80800000000000005</v>
      </c>
      <c r="Z14" s="177">
        <f t="shared" ca="1" si="2"/>
        <v>0.30254930254930251</v>
      </c>
      <c r="AA14" s="177">
        <f t="shared" ca="1" si="2"/>
        <v>0.6</v>
      </c>
      <c r="AB14" s="177">
        <f t="shared" ca="1" si="2"/>
        <v>1</v>
      </c>
      <c r="AC14" s="416">
        <f t="shared" ca="1" si="2"/>
        <v>3.25</v>
      </c>
      <c r="AD14" s="416">
        <f t="shared" ca="1" si="2"/>
        <v>1.4426961458207845</v>
      </c>
      <c r="AE14" s="416">
        <f t="shared" ca="1" si="3"/>
        <v>1</v>
      </c>
      <c r="AF14" s="71">
        <f t="shared" ca="1" si="3"/>
        <v>1.7608179999999999E-3</v>
      </c>
      <c r="AG14" s="71">
        <f t="shared" ca="1" si="3"/>
        <v>40</v>
      </c>
      <c r="AH14" s="177">
        <f t="shared" ca="1" si="3"/>
        <v>0.3</v>
      </c>
      <c r="AI14" s="177">
        <f t="shared" ca="1" si="3"/>
        <v>0.25359999999999999</v>
      </c>
      <c r="AJ14" s="177">
        <f t="shared" ca="1" si="3"/>
        <v>0.18569134162665896</v>
      </c>
      <c r="AK14" s="177">
        <f t="shared" ca="1" si="3"/>
        <v>1.35</v>
      </c>
      <c r="AL14" s="177">
        <f t="shared" ca="1" si="3"/>
        <v>1</v>
      </c>
      <c r="AM14" s="177">
        <f t="shared" ca="1" si="3"/>
        <v>0.77</v>
      </c>
      <c r="AN14" s="177">
        <f t="shared" ca="1" si="3"/>
        <v>1</v>
      </c>
      <c r="AO14" s="177">
        <f t="shared" ca="1" si="3"/>
        <v>1</v>
      </c>
      <c r="AP14" s="177">
        <f t="shared" ca="1" si="3"/>
        <v>0.75</v>
      </c>
      <c r="AQ14" s="180">
        <f t="shared" ca="1" si="3"/>
        <v>0.51</v>
      </c>
      <c r="AR14" s="180">
        <f t="shared" ca="1" si="3"/>
        <v>0.5292</v>
      </c>
      <c r="AS14" s="177">
        <f t="shared" ca="1" si="3"/>
        <v>1</v>
      </c>
      <c r="AU14" s="181">
        <f t="shared" ca="1" si="4"/>
        <v>1.3810770562770559E-2</v>
      </c>
      <c r="AV14" s="181">
        <f t="shared" ca="1" si="4"/>
        <v>1.0112541461746187E-2</v>
      </c>
      <c r="AW14" s="181">
        <f t="shared" ca="1" si="4"/>
        <v>5.445887445887445E-2</v>
      </c>
      <c r="AX14" s="181">
        <f t="shared" ca="1" si="4"/>
        <v>0.05</v>
      </c>
      <c r="AY14" s="181" t="str">
        <f t="shared" ca="1" si="4"/>
        <v>No</v>
      </c>
    </row>
    <row r="15" spans="2:52" s="54" customFormat="1" x14ac:dyDescent="0.2">
      <c r="B15" s="276" t="s">
        <v>96</v>
      </c>
      <c r="C15" s="419">
        <f t="shared" ca="1" si="0"/>
        <v>0.1506137824147312</v>
      </c>
      <c r="D15" s="419">
        <f t="shared" ca="1" si="0"/>
        <v>0.1146960380203151</v>
      </c>
      <c r="E15" s="419">
        <f t="shared" ca="1" si="0"/>
        <v>3.3736433141506733E-2</v>
      </c>
      <c r="F15" s="419">
        <f t="shared" ca="1" si="0"/>
        <v>3.3901362303489641E-3</v>
      </c>
      <c r="G15" s="343">
        <f t="shared" ca="1" si="0"/>
        <v>0.96931550797254107</v>
      </c>
      <c r="H15" s="417">
        <f t="shared" ca="1" si="0"/>
        <v>2838.2630576673801</v>
      </c>
      <c r="I15" s="417">
        <f t="shared" ca="1" si="0"/>
        <v>727.52306092594836</v>
      </c>
      <c r="J15" s="417">
        <f t="shared" ca="1" si="0"/>
        <v>955.35122129146225</v>
      </c>
      <c r="K15" s="417">
        <f t="shared" ca="1" si="0"/>
        <v>1306.0216992107946</v>
      </c>
      <c r="L15" s="417"/>
      <c r="M15" s="418">
        <f t="shared" ca="1" si="1"/>
        <v>44.42705902683673</v>
      </c>
      <c r="N15" s="418">
        <f t="shared" ca="1" si="1"/>
        <v>33.832279951920647</v>
      </c>
      <c r="O15" s="418">
        <f t="shared" ca="1" si="1"/>
        <v>24.748218188620811</v>
      </c>
      <c r="P15" s="184">
        <f t="shared" ca="1" si="1"/>
        <v>9.9513502848332642</v>
      </c>
      <c r="Q15" s="418">
        <f t="shared" ca="1" si="1"/>
        <v>187.60210443088837</v>
      </c>
      <c r="R15" s="418">
        <f t="shared" ca="1" si="1"/>
        <v>85.658097401477534</v>
      </c>
      <c r="S15" s="184" t="str">
        <f t="shared" ca="1" si="1"/>
        <v>N/A</v>
      </c>
      <c r="U15" s="125">
        <f t="shared" ca="1" si="2"/>
        <v>0.04</v>
      </c>
      <c r="V15" s="125">
        <f t="shared" ca="1" si="2"/>
        <v>0.1</v>
      </c>
      <c r="W15" s="125">
        <f t="shared" ca="1" si="2"/>
        <v>0.5</v>
      </c>
      <c r="X15" s="185">
        <f t="shared" ca="1" si="2"/>
        <v>15</v>
      </c>
      <c r="Y15" s="125">
        <f t="shared" ca="1" si="2"/>
        <v>0.80800000000000005</v>
      </c>
      <c r="Z15" s="125">
        <f t="shared" ca="1" si="2"/>
        <v>0.63500000000000001</v>
      </c>
      <c r="AA15" s="125">
        <f t="shared" ca="1" si="2"/>
        <v>0.33</v>
      </c>
      <c r="AB15" s="125">
        <f t="shared" ca="1" si="2"/>
        <v>1</v>
      </c>
      <c r="AC15" s="433">
        <f t="shared" ca="1" si="2"/>
        <v>3</v>
      </c>
      <c r="AD15" s="416">
        <f t="shared" ca="1" si="2"/>
        <v>1.8399999999999999</v>
      </c>
      <c r="AE15" s="416">
        <f t="shared" ca="1" si="3"/>
        <v>2</v>
      </c>
      <c r="AF15" s="185">
        <f t="shared" ca="1" si="3"/>
        <v>1.8268850000000001E-3</v>
      </c>
      <c r="AG15" s="185">
        <f t="shared" ca="1" si="3"/>
        <v>35</v>
      </c>
      <c r="AH15" s="125">
        <f t="shared" ca="1" si="3"/>
        <v>0.5</v>
      </c>
      <c r="AI15" s="125">
        <f t="shared" ca="1" si="3"/>
        <v>0.25359999999999999</v>
      </c>
      <c r="AJ15" s="125">
        <f t="shared" ca="1" si="3"/>
        <v>0.18569134162665896</v>
      </c>
      <c r="AK15" s="125">
        <f t="shared" ca="1" si="3"/>
        <v>1</v>
      </c>
      <c r="AL15" s="125">
        <f t="shared" ca="1" si="3"/>
        <v>1</v>
      </c>
      <c r="AM15" s="125">
        <f t="shared" ca="1" si="3"/>
        <v>0.95799999999999996</v>
      </c>
      <c r="AN15" s="125">
        <f t="shared" ca="1" si="3"/>
        <v>1.244</v>
      </c>
      <c r="AO15" s="125">
        <f t="shared" ca="1" si="3"/>
        <v>1</v>
      </c>
      <c r="AP15" s="125">
        <f t="shared" ca="1" si="3"/>
        <v>0.82499999999999996</v>
      </c>
      <c r="AQ15" s="186">
        <f t="shared" ca="1" si="3"/>
        <v>0.51</v>
      </c>
      <c r="AR15" s="186">
        <f t="shared" ca="1" si="3"/>
        <v>0.5292</v>
      </c>
      <c r="AS15" s="125">
        <f t="shared" ca="1" si="3"/>
        <v>2</v>
      </c>
      <c r="AU15" s="181">
        <f t="shared" ca="1" si="4"/>
        <v>2.6570940000000001E-2</v>
      </c>
      <c r="AV15" s="181">
        <f t="shared" ca="1" si="4"/>
        <v>1.9455810318933193E-2</v>
      </c>
      <c r="AW15" s="181">
        <f t="shared" ca="1" si="4"/>
        <v>5.2387500000000004E-2</v>
      </c>
      <c r="AX15" s="181">
        <f t="shared" ca="1" si="4"/>
        <v>0.05</v>
      </c>
      <c r="AY15" s="181" t="str">
        <f t="shared" ca="1" si="4"/>
        <v>No</v>
      </c>
    </row>
    <row r="16" spans="2:52" x14ac:dyDescent="0.2">
      <c r="B16" s="276" t="s">
        <v>97</v>
      </c>
      <c r="C16" s="419">
        <f t="shared" ca="1" si="0"/>
        <v>2.6955211554013772E-2</v>
      </c>
      <c r="D16" s="419">
        <f t="shared" ca="1" si="0"/>
        <v>1.8538905910807799E-2</v>
      </c>
      <c r="E16" s="419" t="str">
        <f t="shared" ca="1" si="0"/>
        <v>-</v>
      </c>
      <c r="F16" s="419">
        <f t="shared" ca="1" si="0"/>
        <v>4.3606608568153987E-3</v>
      </c>
      <c r="G16" s="343">
        <f t="shared" ca="1" si="0"/>
        <v>1.2468101298350782</v>
      </c>
      <c r="H16" s="417">
        <f t="shared" ca="1" si="0"/>
        <v>2838.2630576673801</v>
      </c>
      <c r="I16" s="417">
        <f t="shared" ca="1" si="0"/>
        <v>4065.0766097839705</v>
      </c>
      <c r="J16" s="417">
        <f t="shared" ca="1" si="0"/>
        <v>5910.5429698588659</v>
      </c>
      <c r="K16" s="417">
        <f t="shared" ca="1" si="0"/>
        <v>2577.7518358866164</v>
      </c>
      <c r="L16" s="417"/>
      <c r="M16" s="418">
        <f t="shared" ca="1" si="1"/>
        <v>6.1814510321032463</v>
      </c>
      <c r="N16" s="418">
        <f t="shared" ca="1" si="1"/>
        <v>4.2513982443355633</v>
      </c>
      <c r="O16" s="418">
        <f t="shared" ca="1" si="1"/>
        <v>9.7480570686840782</v>
      </c>
      <c r="P16" s="124" t="str">
        <f t="shared" ca="1" si="1"/>
        <v>-</v>
      </c>
      <c r="Q16" s="508">
        <f t="shared" ca="1" si="1"/>
        <v>32.210767438077383</v>
      </c>
      <c r="R16" s="508">
        <f t="shared" ca="1" si="1"/>
        <v>8.323078048928366</v>
      </c>
      <c r="S16" s="124" t="str">
        <f t="shared" ca="1" si="1"/>
        <v>N/A</v>
      </c>
      <c r="U16" s="125">
        <f t="shared" ca="1" si="2"/>
        <v>0.05</v>
      </c>
      <c r="V16" s="125">
        <f t="shared" ca="1" si="2"/>
        <v>0.19</v>
      </c>
      <c r="W16" s="125">
        <f t="shared" ca="1" si="2"/>
        <v>0.4</v>
      </c>
      <c r="X16" s="185">
        <f t="shared" ca="1" si="2"/>
        <v>20</v>
      </c>
      <c r="Y16" s="125">
        <f t="shared" ca="1" si="2"/>
        <v>0.80800000000000005</v>
      </c>
      <c r="Z16" s="125">
        <f t="shared" ca="1" si="2"/>
        <v>0.30254930254930251</v>
      </c>
      <c r="AA16" s="125">
        <f t="shared" ca="1" si="2"/>
        <v>0.6</v>
      </c>
      <c r="AB16" s="125">
        <f t="shared" ca="1" si="2"/>
        <v>0.8</v>
      </c>
      <c r="AC16" s="433">
        <f t="shared" ca="1" si="2"/>
        <v>3</v>
      </c>
      <c r="AD16" s="416">
        <f t="shared" ca="1" si="2"/>
        <v>1.4426961458207845</v>
      </c>
      <c r="AE16" s="416">
        <f t="shared" ca="1" si="3"/>
        <v>2</v>
      </c>
      <c r="AF16" s="185">
        <f t="shared" ca="1" si="3"/>
        <v>1.7608179999999999E-3</v>
      </c>
      <c r="AG16" s="185">
        <f t="shared" ca="1" si="3"/>
        <v>20</v>
      </c>
      <c r="AH16" s="125">
        <f t="shared" ca="1" si="3"/>
        <v>0.3</v>
      </c>
      <c r="AI16" s="125">
        <f t="shared" ca="1" si="3"/>
        <v>0.25359999999999999</v>
      </c>
      <c r="AJ16" s="125">
        <f t="shared" ca="1" si="3"/>
        <v>0.18569134162665896</v>
      </c>
      <c r="AK16" s="125">
        <f t="shared" ca="1" si="3"/>
        <v>1</v>
      </c>
      <c r="AL16" s="125">
        <f t="shared" ca="1" si="3"/>
        <v>1</v>
      </c>
      <c r="AM16" s="125">
        <f t="shared" ca="1" si="3"/>
        <v>0.81</v>
      </c>
      <c r="AN16" s="125">
        <f t="shared" ca="1" si="3"/>
        <v>1</v>
      </c>
      <c r="AO16" s="125">
        <f t="shared" ca="1" si="3"/>
        <v>1</v>
      </c>
      <c r="AP16" s="125">
        <f t="shared" ca="1" si="3"/>
        <v>0.75</v>
      </c>
      <c r="AQ16" s="186">
        <f t="shared" ca="1" si="3"/>
        <v>0.51</v>
      </c>
      <c r="AR16" s="186">
        <f t="shared" ca="1" si="3"/>
        <v>0.5292</v>
      </c>
      <c r="AS16" s="125">
        <f t="shared" ca="1" si="3"/>
        <v>4</v>
      </c>
      <c r="AT16" s="54"/>
      <c r="AU16" s="181">
        <f t="shared" ca="1" si="4"/>
        <v>1.104861645021645E-2</v>
      </c>
      <c r="AV16" s="181">
        <f t="shared" ca="1" si="4"/>
        <v>8.0900331693969513E-3</v>
      </c>
      <c r="AW16" s="181">
        <f t="shared" ca="1" si="4"/>
        <v>1.0891774891774892E-2</v>
      </c>
      <c r="AX16" s="181">
        <f t="shared" ca="1" si="4"/>
        <v>0.05</v>
      </c>
      <c r="AY16" s="181" t="str">
        <f t="shared" ca="1" si="4"/>
        <v>No</v>
      </c>
    </row>
    <row r="17" spans="2:51" x14ac:dyDescent="0.2">
      <c r="Q17" s="509"/>
      <c r="R17" s="509"/>
    </row>
    <row r="18" spans="2:51" s="232" customFormat="1" x14ac:dyDescent="0.2">
      <c r="Q18" s="509"/>
      <c r="R18" s="509"/>
    </row>
    <row r="19" spans="2:51" x14ac:dyDescent="0.2">
      <c r="B19" s="311" t="s">
        <v>102</v>
      </c>
      <c r="C19" s="419">
        <f t="shared" ref="C19:K19" ca="1" si="5">MEDIAN(C5:C16)</f>
        <v>4.6155456757695987E-2</v>
      </c>
      <c r="D19" s="419">
        <f t="shared" ca="1" si="5"/>
        <v>2.694172657480081E-2</v>
      </c>
      <c r="E19" s="419">
        <f t="shared" ca="1" si="5"/>
        <v>2.2229480621296548E-2</v>
      </c>
      <c r="F19" s="419">
        <f t="shared" ca="1" si="5"/>
        <v>4.6107495801615134E-3</v>
      </c>
      <c r="G19" s="343">
        <f t="shared" ca="1" si="5"/>
        <v>1.3183160698437164</v>
      </c>
      <c r="H19" s="417">
        <f t="shared" ca="1" si="5"/>
        <v>2838.2630576673801</v>
      </c>
      <c r="I19" s="417">
        <f t="shared" ca="1" si="5"/>
        <v>2056.2338448814485</v>
      </c>
      <c r="J19" s="417">
        <f t="shared" ca="1" si="5"/>
        <v>3786.542846624151</v>
      </c>
      <c r="K19" s="417">
        <f t="shared" ca="1" si="5"/>
        <v>1782.98054381416</v>
      </c>
      <c r="L19" s="417"/>
      <c r="M19" s="418">
        <f ca="1">MEDIAN(M5:M16)</f>
        <v>10.99296012420076</v>
      </c>
      <c r="N19" s="418">
        <f ca="1">MEDIAN(N5:N16)</f>
        <v>5.8492419586718256</v>
      </c>
      <c r="O19" s="418">
        <f ca="1">MEDIAN(O5:O16)</f>
        <v>11.003562375910647</v>
      </c>
      <c r="Q19" s="509"/>
      <c r="R19" s="509"/>
      <c r="U19" s="125">
        <f t="shared" ref="U19:AS19" ca="1" si="6">MEDIAN(U5:U16)</f>
        <v>0.05</v>
      </c>
      <c r="V19" s="125">
        <f t="shared" ca="1" si="6"/>
        <v>0.19</v>
      </c>
      <c r="W19" s="125">
        <f t="shared" ca="1" si="6"/>
        <v>0.5</v>
      </c>
      <c r="X19" s="185">
        <f t="shared" ca="1" si="6"/>
        <v>20</v>
      </c>
      <c r="Y19" s="125">
        <f t="shared" ca="1" si="6"/>
        <v>0.80800000000000005</v>
      </c>
      <c r="Z19" s="125">
        <f t="shared" ca="1" si="6"/>
        <v>0.54212454212454209</v>
      </c>
      <c r="AA19" s="125">
        <f t="shared" ca="1" si="6"/>
        <v>0.6</v>
      </c>
      <c r="AB19" s="125">
        <f t="shared" ca="1" si="6"/>
        <v>0.77500000000000002</v>
      </c>
      <c r="AC19" s="433">
        <f t="shared" ca="1" si="6"/>
        <v>3</v>
      </c>
      <c r="AD19" s="416">
        <f t="shared" ca="1" si="6"/>
        <v>1.4426961458207845</v>
      </c>
      <c r="AE19" s="416">
        <f t="shared" ca="1" si="6"/>
        <v>2</v>
      </c>
      <c r="AF19" s="185">
        <f t="shared" ca="1" si="6"/>
        <v>1.7608179999999999E-3</v>
      </c>
      <c r="AG19" s="185">
        <f t="shared" ca="1" si="6"/>
        <v>30</v>
      </c>
      <c r="AH19" s="125">
        <f t="shared" ca="1" si="6"/>
        <v>0.3</v>
      </c>
      <c r="AI19" s="125">
        <f t="shared" ca="1" si="6"/>
        <v>0.25359999999999999</v>
      </c>
      <c r="AJ19" s="125">
        <f t="shared" ca="1" si="6"/>
        <v>0.18569134162665896</v>
      </c>
      <c r="AK19" s="125">
        <f t="shared" ca="1" si="6"/>
        <v>1.07</v>
      </c>
      <c r="AL19" s="125">
        <f t="shared" ca="1" si="6"/>
        <v>1</v>
      </c>
      <c r="AM19" s="125">
        <f t="shared" ca="1" si="6"/>
        <v>0.81</v>
      </c>
      <c r="AN19" s="125">
        <f t="shared" ca="1" si="6"/>
        <v>1</v>
      </c>
      <c r="AO19" s="125">
        <f t="shared" ca="1" si="6"/>
        <v>1</v>
      </c>
      <c r="AP19" s="125">
        <f t="shared" ca="1" si="6"/>
        <v>0.75</v>
      </c>
      <c r="AQ19" s="186">
        <f t="shared" ca="1" si="6"/>
        <v>0.57000000000000006</v>
      </c>
      <c r="AR19" s="186">
        <f t="shared" ca="1" si="6"/>
        <v>0.62460000000000004</v>
      </c>
      <c r="AS19" s="125">
        <f t="shared" ca="1" si="6"/>
        <v>2</v>
      </c>
      <c r="AT19" s="276"/>
      <c r="AU19" s="181">
        <f ca="1">MEDIAN(AU5:AU16)</f>
        <v>1.7909280769230769E-2</v>
      </c>
      <c r="AV19" s="181">
        <f ca="1">MEDIAN(AV5:AV16)</f>
        <v>1.1476369637218395E-2</v>
      </c>
      <c r="AW19" s="181">
        <f ca="1">MEDIAN(AW5:AW16)</f>
        <v>3.5315101565101564E-2</v>
      </c>
      <c r="AX19" s="181">
        <f ca="1">MEDIAN(AX5:AX16)</f>
        <v>0.05</v>
      </c>
      <c r="AY19" s="181"/>
    </row>
    <row r="20" spans="2:51" s="232" customFormat="1" x14ac:dyDescent="0.2">
      <c r="B20" s="276" t="s">
        <v>101</v>
      </c>
      <c r="C20" s="419">
        <f t="shared" ref="C20:K20" ca="1" si="7">IFERROR(INDIRECT("'"&amp;$B20&amp;"'!"&amp;C$4),"-")</f>
        <v>5.0607416626175392E-2</v>
      </c>
      <c r="D20" s="419">
        <f t="shared" ca="1" si="7"/>
        <v>3.0048434074000992E-2</v>
      </c>
      <c r="E20" s="419">
        <f t="shared" ca="1" si="7"/>
        <v>0</v>
      </c>
      <c r="F20" s="419">
        <f t="shared" ca="1" si="7"/>
        <v>4.8608383035076289E-3</v>
      </c>
      <c r="G20" s="343">
        <f t="shared" ca="1" si="7"/>
        <v>1.3898220098523546</v>
      </c>
      <c r="H20" s="417">
        <f t="shared" ca="1" si="7"/>
        <v>2838.2630576673801</v>
      </c>
      <c r="I20" s="417">
        <f t="shared" ca="1" si="7"/>
        <v>2165.1964732640622</v>
      </c>
      <c r="J20" s="417">
        <f t="shared" ca="1" si="7"/>
        <v>3646.6126564248593</v>
      </c>
      <c r="K20" s="417">
        <f t="shared" ca="1" si="7"/>
        <v>1980.9333693181763</v>
      </c>
      <c r="L20" s="417"/>
      <c r="M20" s="418">
        <f t="shared" ref="M20:S20" ca="1" si="8">IFERROR(INDIRECT("'"&amp;$B20&amp;"'!"&amp;M$4),"-")</f>
        <v>10.411252846994845</v>
      </c>
      <c r="N20" s="418">
        <f t="shared" ca="1" si="8"/>
        <v>6.1817390741670515</v>
      </c>
      <c r="O20" s="418">
        <f t="shared" ca="1" si="8"/>
        <v>11.379690147949098</v>
      </c>
      <c r="P20" s="124">
        <f t="shared" ca="1" si="8"/>
        <v>0</v>
      </c>
      <c r="Q20" s="508">
        <f t="shared" ca="1" si="8"/>
        <v>48.791062688618723</v>
      </c>
      <c r="R20" s="508" t="str">
        <f t="shared" ca="1" si="8"/>
        <v>N/A</v>
      </c>
      <c r="S20" s="124" t="str">
        <f t="shared" ca="1" si="8"/>
        <v>N/A</v>
      </c>
      <c r="U20" s="125">
        <f t="shared" ref="U20:AS20" ca="1" si="9">IF(ISBLANK(IFERROR(INDIRECT("'"&amp;$B20&amp;"'!"&amp;U$4),"-")),"-",IFERROR(INDIRECT("'"&amp;$B20&amp;"'!"&amp;U$4),"-"))</f>
        <v>0.05</v>
      </c>
      <c r="V20" s="125">
        <f t="shared" ca="1" si="9"/>
        <v>0.19</v>
      </c>
      <c r="W20" s="125">
        <f t="shared" ca="1" si="9"/>
        <v>0.5</v>
      </c>
      <c r="X20" s="185">
        <f t="shared" ca="1" si="9"/>
        <v>20</v>
      </c>
      <c r="Y20" s="125">
        <f t="shared" ca="1" si="9"/>
        <v>0.80800000000000005</v>
      </c>
      <c r="Z20" s="125">
        <f t="shared" ca="1" si="9"/>
        <v>0.54212454212454209</v>
      </c>
      <c r="AA20" s="125">
        <f t="shared" ca="1" si="9"/>
        <v>0.6</v>
      </c>
      <c r="AB20" s="125">
        <f t="shared" ca="1" si="9"/>
        <v>0.77500000000000002</v>
      </c>
      <c r="AC20" s="433">
        <f t="shared" ca="1" si="9"/>
        <v>3</v>
      </c>
      <c r="AD20" s="416">
        <f t="shared" ca="1" si="9"/>
        <v>1.4426961458207845</v>
      </c>
      <c r="AE20" s="416">
        <f t="shared" ca="1" si="9"/>
        <v>2</v>
      </c>
      <c r="AF20" s="185">
        <f t="shared" ca="1" si="9"/>
        <v>1.7608179999999999E-3</v>
      </c>
      <c r="AG20" s="185">
        <f t="shared" ca="1" si="9"/>
        <v>30</v>
      </c>
      <c r="AH20" s="125">
        <f t="shared" ca="1" si="9"/>
        <v>0.3</v>
      </c>
      <c r="AI20" s="125">
        <f t="shared" ca="1" si="9"/>
        <v>0.25359999999999999</v>
      </c>
      <c r="AJ20" s="125">
        <f t="shared" ca="1" si="9"/>
        <v>0.18569134162665896</v>
      </c>
      <c r="AK20" s="125">
        <f t="shared" ca="1" si="9"/>
        <v>1.07</v>
      </c>
      <c r="AL20" s="125">
        <f t="shared" ca="1" si="9"/>
        <v>1</v>
      </c>
      <c r="AM20" s="125">
        <f t="shared" ca="1" si="9"/>
        <v>0.81</v>
      </c>
      <c r="AN20" s="125">
        <f t="shared" ca="1" si="9"/>
        <v>1</v>
      </c>
      <c r="AO20" s="125">
        <f t="shared" ca="1" si="9"/>
        <v>1</v>
      </c>
      <c r="AP20" s="125">
        <f t="shared" ca="1" si="9"/>
        <v>0.75</v>
      </c>
      <c r="AQ20" s="186">
        <f t="shared" ca="1" si="9"/>
        <v>0.57000000000000006</v>
      </c>
      <c r="AR20" s="186">
        <f t="shared" ca="1" si="9"/>
        <v>0.62460000000000004</v>
      </c>
      <c r="AS20" s="125">
        <f t="shared" ca="1" si="9"/>
        <v>2</v>
      </c>
      <c r="AT20" s="276"/>
      <c r="AU20" s="181">
        <f ca="1">IF(ISBLANK(IFERROR(INDIRECT("'"&amp;$B20&amp;"'!"&amp;AU$4),"-")),"-",IFERROR(INDIRECT("'"&amp;$B20&amp;"'!"&amp;AU$4),"-"))</f>
        <v>1.9178848351648344E-2</v>
      </c>
      <c r="AV20" s="181">
        <f ca="1">IF(ISBLANK(IFERROR(INDIRECT("'"&amp;$B20&amp;"'!"&amp;AV$4),"-")),"-",IFERROR(INDIRECT("'"&amp;$B20&amp;"'!"&amp;AV$4),"-"))</f>
        <v>1.4043162781040291E-2</v>
      </c>
      <c r="AW20" s="181">
        <f ca="1">IF(ISBLANK(IFERROR(INDIRECT("'"&amp;$B20&amp;"'!"&amp;AW$4),"-")),"-",IFERROR(INDIRECT("'"&amp;$B20&amp;"'!"&amp;AW$4),"-"))</f>
        <v>3.7813186813186801E-2</v>
      </c>
      <c r="AX20" s="181">
        <f ca="1">IF(ISBLANK(IFERROR(INDIRECT("'"&amp;$B20&amp;"'!"&amp;AX$4),"-")),"-",IFERROR(INDIRECT("'"&amp;$B20&amp;"'!"&amp;AX$4),"-"))</f>
        <v>0.05</v>
      </c>
      <c r="AY20" s="181" t="str">
        <f ca="1">IF(ISBLANK(IFERROR(INDIRECT("'"&amp;$B20&amp;"'!"&amp;AY$4),"-")),"-",IFERROR(INDIRECT("'"&amp;$B20&amp;"'!"&amp;AY$4),"-"))</f>
        <v>No</v>
      </c>
    </row>
    <row r="22" spans="2:51" x14ac:dyDescent="0.2">
      <c r="H22" s="177"/>
      <c r="I22" s="232"/>
      <c r="J22" s="232"/>
      <c r="K22" s="177"/>
    </row>
    <row r="23" spans="2:51" x14ac:dyDescent="0.2">
      <c r="H23" s="177"/>
      <c r="I23" s="232"/>
      <c r="J23" s="232"/>
      <c r="K23" s="177"/>
    </row>
    <row r="24" spans="2:51" x14ac:dyDescent="0.2">
      <c r="H24" s="177"/>
      <c r="I24" s="232"/>
      <c r="J24" s="232"/>
      <c r="K24" s="177"/>
    </row>
    <row r="25" spans="2:51" x14ac:dyDescent="0.2">
      <c r="H25" s="177"/>
      <c r="I25" s="232"/>
      <c r="J25" s="232"/>
      <c r="K25" s="177"/>
    </row>
    <row r="26" spans="2:51" x14ac:dyDescent="0.2">
      <c r="H26" s="177"/>
      <c r="I26" s="232"/>
      <c r="J26" s="232"/>
      <c r="K26" s="177"/>
    </row>
    <row r="27" spans="2:51" x14ac:dyDescent="0.2">
      <c r="H27" s="177"/>
      <c r="I27" s="232"/>
      <c r="J27" s="232"/>
      <c r="K27" s="177"/>
    </row>
    <row r="28" spans="2:51" x14ac:dyDescent="0.2">
      <c r="H28" s="177"/>
      <c r="I28" s="232"/>
      <c r="J28" s="232"/>
      <c r="K28" s="177"/>
    </row>
    <row r="29" spans="2:51" x14ac:dyDescent="0.2">
      <c r="H29" s="177"/>
      <c r="I29" s="232"/>
      <c r="J29" s="232"/>
      <c r="K29" s="177"/>
    </row>
    <row r="30" spans="2:51" x14ac:dyDescent="0.2">
      <c r="H30" s="177"/>
      <c r="I30" s="232"/>
      <c r="J30" s="232"/>
      <c r="K30" s="177"/>
    </row>
    <row r="31" spans="2:51" x14ac:dyDescent="0.2">
      <c r="H31" s="177"/>
      <c r="I31" s="232"/>
      <c r="J31" s="232"/>
      <c r="K31" s="177"/>
    </row>
    <row r="32" spans="2:51" x14ac:dyDescent="0.2">
      <c r="H32" s="177"/>
      <c r="I32" s="232"/>
      <c r="J32" s="232"/>
      <c r="K32" s="177"/>
    </row>
    <row r="33" spans="8:11" x14ac:dyDescent="0.2">
      <c r="H33" s="177"/>
      <c r="I33" s="232"/>
      <c r="J33" s="232"/>
      <c r="K33" s="177"/>
    </row>
    <row r="34" spans="8:11" x14ac:dyDescent="0.2">
      <c r="H34" s="177"/>
      <c r="I34" s="232"/>
      <c r="J34" s="232"/>
      <c r="K34" s="177"/>
    </row>
    <row r="35" spans="8:11" x14ac:dyDescent="0.2">
      <c r="H35" s="177"/>
      <c r="I35" s="232"/>
      <c r="J35" s="232"/>
      <c r="K35" s="177"/>
    </row>
    <row r="36" spans="8:11" x14ac:dyDescent="0.2">
      <c r="H36" s="177"/>
      <c r="I36" s="232"/>
      <c r="J36" s="232"/>
      <c r="K36" s="177"/>
    </row>
    <row r="37" spans="8:11" x14ac:dyDescent="0.2">
      <c r="H37" s="177"/>
      <c r="I37" s="232"/>
      <c r="J37" s="232"/>
      <c r="K37" s="177"/>
    </row>
    <row r="38" spans="8:11" x14ac:dyDescent="0.2">
      <c r="H38" s="177"/>
      <c r="I38" s="232"/>
      <c r="J38" s="232"/>
      <c r="K38" s="177"/>
    </row>
    <row r="39" spans="8:11" x14ac:dyDescent="0.2">
      <c r="H39" s="177"/>
      <c r="I39" s="232"/>
      <c r="J39" s="232"/>
      <c r="K39" s="177"/>
    </row>
    <row r="40" spans="8:11" x14ac:dyDescent="0.2">
      <c r="H40" s="177"/>
      <c r="I40" s="232"/>
      <c r="J40" s="232"/>
      <c r="K40" s="177"/>
    </row>
    <row r="41" spans="8:11" x14ac:dyDescent="0.2">
      <c r="H41" s="177"/>
      <c r="I41" s="232"/>
      <c r="J41" s="232"/>
      <c r="K41" s="177"/>
    </row>
    <row r="42" spans="8:11" x14ac:dyDescent="0.2">
      <c r="H42" s="177"/>
      <c r="I42" s="232"/>
      <c r="J42" s="232"/>
      <c r="K42" s="177"/>
    </row>
    <row r="43" spans="8:11" x14ac:dyDescent="0.2">
      <c r="H43" s="177"/>
      <c r="I43" s="232"/>
      <c r="J43" s="232"/>
      <c r="K43" s="177"/>
    </row>
  </sheetData>
  <mergeCells count="29">
    <mergeCell ref="AU2:AW2"/>
    <mergeCell ref="AE2:AE3"/>
    <mergeCell ref="AI2:AJ2"/>
    <mergeCell ref="AK2:AL2"/>
    <mergeCell ref="AO2:AP2"/>
    <mergeCell ref="AQ2:AR2"/>
    <mergeCell ref="AM2:AN2"/>
    <mergeCell ref="AS2:AS3"/>
    <mergeCell ref="C2:F2"/>
    <mergeCell ref="M2:P2"/>
    <mergeCell ref="I2:L2"/>
    <mergeCell ref="U2:U3"/>
    <mergeCell ref="V2:V3"/>
    <mergeCell ref="AX2:AX3"/>
    <mergeCell ref="AY2:AY3"/>
    <mergeCell ref="Q2:S2"/>
    <mergeCell ref="G2:G3"/>
    <mergeCell ref="H2:H3"/>
    <mergeCell ref="W2:W3"/>
    <mergeCell ref="X2:X3"/>
    <mergeCell ref="Y2:Y3"/>
    <mergeCell ref="AF2:AF3"/>
    <mergeCell ref="AG2:AG3"/>
    <mergeCell ref="AH2:AH3"/>
    <mergeCell ref="Z2:Z3"/>
    <mergeCell ref="AA2:AA3"/>
    <mergeCell ref="AB2:AB3"/>
    <mergeCell ref="AC2:AC3"/>
    <mergeCell ref="AD2:AD3"/>
  </mergeCells>
  <phoneticPr fontId="49" type="noConversion"/>
  <pageMargins left="0.7" right="0.7" top="0.75" bottom="0.75" header="0.3" footer="0.3"/>
  <legacyDrawing r:id="rId1"/>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B119"/>
  <sheetViews>
    <sheetView workbookViewId="0"/>
  </sheetViews>
  <sheetFormatPr baseColWidth="10" defaultColWidth="8.83203125" defaultRowHeight="11" x14ac:dyDescent="0.15"/>
  <cols>
    <col min="1" max="1" width="1.5" style="233" customWidth="1"/>
    <col min="2" max="2" width="9.5" style="233" customWidth="1"/>
    <col min="3" max="3" width="14.5" style="233" customWidth="1"/>
    <col min="4" max="4" width="5.83203125" style="233" customWidth="1"/>
    <col min="5" max="5" width="1.83203125" style="233" customWidth="1"/>
    <col min="6" max="6" width="21.5" style="233" customWidth="1"/>
    <col min="7" max="7" width="13.5" style="233" customWidth="1"/>
    <col min="8" max="8" width="1.5" style="233" customWidth="1"/>
    <col min="9" max="9" width="16.5" style="233" customWidth="1"/>
    <col min="10" max="10" width="8.5" style="233" customWidth="1"/>
    <col min="11" max="11" width="1.5" style="233" customWidth="1"/>
    <col min="12" max="12" width="22.83203125" style="233" customWidth="1"/>
    <col min="13" max="13" width="8.5" style="233" customWidth="1"/>
    <col min="14" max="14" width="0.83203125" style="233" customWidth="1"/>
    <col min="15" max="15" width="2.83203125" style="233" customWidth="1"/>
    <col min="16" max="16" width="3" style="233" customWidth="1"/>
    <col min="17" max="17" width="15.5" style="233" customWidth="1"/>
    <col min="18" max="18" width="30.83203125" style="233" customWidth="1"/>
    <col min="19" max="19" width="23.5" style="233" customWidth="1"/>
    <col min="20" max="20" width="1" style="233" customWidth="1"/>
    <col min="21" max="21" width="24.5" style="233" customWidth="1"/>
    <col min="22" max="23" width="12.5" style="233" customWidth="1"/>
    <col min="24" max="24" width="12.5" style="246" customWidth="1"/>
    <col min="25" max="25" width="13.5" style="233" customWidth="1"/>
    <col min="26" max="26" width="14.1640625" style="233" customWidth="1"/>
    <col min="27" max="28" width="11.5" style="233" customWidth="1"/>
    <col min="29" max="29" width="2.5" style="233" customWidth="1"/>
    <col min="30" max="30" width="39.5" style="233" customWidth="1"/>
    <col min="31" max="31" width="14.5" style="233" bestFit="1" customWidth="1"/>
    <col min="32" max="16384" width="8.83203125" style="233"/>
  </cols>
  <sheetData>
    <row r="1" spans="1:54" ht="6" customHeight="1" thickBot="1" x14ac:dyDescent="0.35">
      <c r="A1" s="274"/>
      <c r="B1" s="246"/>
      <c r="C1" s="246"/>
      <c r="D1" s="246"/>
      <c r="E1" s="246"/>
      <c r="F1" s="246"/>
      <c r="G1" s="246"/>
      <c r="H1" s="246"/>
      <c r="I1" s="246"/>
      <c r="J1" s="246"/>
      <c r="K1" s="246"/>
      <c r="L1" s="246"/>
      <c r="M1" s="246"/>
      <c r="N1" s="246"/>
      <c r="O1" s="246"/>
      <c r="P1" s="246"/>
      <c r="Q1" s="246"/>
      <c r="R1" s="254"/>
      <c r="S1" s="246"/>
      <c r="T1" s="246"/>
      <c r="U1" s="246"/>
      <c r="V1" s="246"/>
      <c r="W1" s="246"/>
      <c r="Y1" s="246"/>
      <c r="Z1" s="246"/>
      <c r="AA1" s="246"/>
      <c r="AB1" s="246"/>
      <c r="AC1" s="246"/>
      <c r="AD1" s="246"/>
      <c r="AE1" s="246"/>
      <c r="AF1" s="246"/>
      <c r="AG1" s="246"/>
      <c r="AH1" s="246"/>
      <c r="AI1" s="246"/>
      <c r="AJ1" s="246"/>
      <c r="AK1" s="246"/>
      <c r="AL1" s="246"/>
      <c r="AM1" s="246"/>
      <c r="AN1" s="246"/>
      <c r="AO1" s="246"/>
      <c r="AP1" s="246"/>
      <c r="AQ1" s="246"/>
    </row>
    <row r="2" spans="1:54" ht="15" customHeight="1" x14ac:dyDescent="0.25">
      <c r="A2" s="246"/>
      <c r="B2" s="246"/>
      <c r="C2" s="334"/>
      <c r="D2" s="249"/>
      <c r="E2" s="249"/>
      <c r="F2" s="246"/>
      <c r="G2" s="246"/>
      <c r="H2" s="246"/>
      <c r="I2" s="246"/>
      <c r="J2" s="246"/>
      <c r="K2" s="274"/>
      <c r="L2" s="386"/>
      <c r="M2" s="274"/>
      <c r="N2" s="246"/>
      <c r="O2" s="246"/>
      <c r="P2" s="246"/>
      <c r="Q2" s="246"/>
      <c r="S2" s="553" t="s">
        <v>409</v>
      </c>
      <c r="T2" s="554"/>
      <c r="U2" s="333"/>
      <c r="V2" s="333"/>
      <c r="W2" s="333"/>
      <c r="X2" s="333"/>
      <c r="Y2" s="246"/>
      <c r="Z2" s="557" t="s">
        <v>290</v>
      </c>
      <c r="AA2" s="558"/>
      <c r="AB2" s="559"/>
      <c r="AC2" s="246"/>
      <c r="AD2" s="246"/>
      <c r="AE2" s="246"/>
      <c r="AF2" s="246"/>
      <c r="AG2" s="246"/>
      <c r="AH2" s="246"/>
      <c r="AI2" s="246"/>
      <c r="AJ2" s="246"/>
      <c r="AK2" s="246"/>
      <c r="AL2" s="246"/>
      <c r="AM2" s="246"/>
      <c r="AN2" s="246"/>
      <c r="AO2" s="246"/>
      <c r="AP2" s="246"/>
      <c r="AQ2" s="246"/>
      <c r="AS2" s="232" t="s">
        <v>477</v>
      </c>
      <c r="AT2" s="232" t="s">
        <v>478</v>
      </c>
      <c r="AU2" s="232" t="s">
        <v>479</v>
      </c>
      <c r="AV2" s="232" t="s">
        <v>480</v>
      </c>
      <c r="AW2" s="232" t="s">
        <v>481</v>
      </c>
      <c r="AX2" s="232" t="s">
        <v>482</v>
      </c>
      <c r="AY2" s="232" t="s">
        <v>483</v>
      </c>
      <c r="AZ2" s="232" t="s">
        <v>432</v>
      </c>
      <c r="BA2" s="232" t="s">
        <v>485</v>
      </c>
    </row>
    <row r="3" spans="1:54" ht="19.5" customHeight="1" thickBot="1" x14ac:dyDescent="0.3">
      <c r="A3" s="246"/>
      <c r="B3" s="334"/>
      <c r="C3" s="334"/>
      <c r="D3" s="249"/>
      <c r="E3" s="249"/>
      <c r="F3" s="246"/>
      <c r="G3" s="246"/>
      <c r="H3" s="246"/>
      <c r="I3" s="246"/>
      <c r="J3" s="246"/>
      <c r="K3" s="274"/>
      <c r="L3" s="274"/>
      <c r="M3" s="274"/>
      <c r="N3" s="246"/>
      <c r="O3" s="246"/>
      <c r="P3" s="246"/>
      <c r="Q3" s="246"/>
      <c r="R3" s="333"/>
      <c r="S3" s="555"/>
      <c r="T3" s="556"/>
      <c r="U3" s="333"/>
      <c r="V3" s="333"/>
      <c r="W3" s="333"/>
      <c r="X3" s="333"/>
      <c r="Y3" s="246"/>
      <c r="Z3" s="560"/>
      <c r="AA3" s="561"/>
      <c r="AB3" s="562"/>
      <c r="AC3" s="246"/>
      <c r="AD3" s="246"/>
      <c r="AE3" s="246"/>
      <c r="AF3" s="246"/>
      <c r="AG3" s="246"/>
      <c r="AH3" s="246"/>
      <c r="AI3" s="246"/>
      <c r="AJ3" s="246"/>
      <c r="AK3" s="246"/>
      <c r="AL3" s="246"/>
      <c r="AM3" s="246"/>
      <c r="AN3" s="246"/>
      <c r="AO3" s="246"/>
      <c r="AP3" s="246"/>
      <c r="AQ3" s="246"/>
      <c r="AS3" s="232"/>
      <c r="AT3" s="232"/>
      <c r="AU3" s="232"/>
      <c r="AV3" s="232"/>
      <c r="AW3" s="232"/>
      <c r="AX3" s="232"/>
      <c r="AY3" s="232"/>
      <c r="AZ3" s="232"/>
      <c r="BA3" s="232"/>
    </row>
    <row r="4" spans="1:54" ht="40.75" customHeight="1" x14ac:dyDescent="0.2">
      <c r="A4" s="246"/>
      <c r="B4" s="563" t="s">
        <v>365</v>
      </c>
      <c r="C4" s="563"/>
      <c r="D4" s="563"/>
      <c r="E4" s="336"/>
      <c r="F4" s="565" t="s">
        <v>408</v>
      </c>
      <c r="G4" s="566"/>
      <c r="H4" s="249"/>
      <c r="I4" s="246"/>
      <c r="J4" s="246"/>
      <c r="K4" s="246"/>
      <c r="L4" s="246"/>
      <c r="M4" s="246"/>
      <c r="N4" s="277"/>
      <c r="O4" s="277"/>
      <c r="P4" s="277"/>
      <c r="Q4" s="332"/>
      <c r="R4" s="423" t="s">
        <v>393</v>
      </c>
      <c r="S4" s="423" t="s">
        <v>245</v>
      </c>
      <c r="T4" s="569" t="s">
        <v>244</v>
      </c>
      <c r="U4" s="569"/>
      <c r="V4" s="569" t="s">
        <v>395</v>
      </c>
      <c r="W4" s="570"/>
      <c r="X4" s="238"/>
      <c r="Y4" s="246"/>
      <c r="Z4" s="369" t="s">
        <v>291</v>
      </c>
      <c r="AA4" s="370"/>
      <c r="AB4" s="371"/>
      <c r="AC4" s="242"/>
      <c r="AD4" s="372" t="s">
        <v>292</v>
      </c>
      <c r="AE4" s="373"/>
      <c r="AF4" s="246"/>
      <c r="AG4" s="246"/>
      <c r="AH4" s="246"/>
      <c r="AI4" s="246"/>
      <c r="AJ4" s="246"/>
      <c r="AK4" s="246"/>
      <c r="AL4" s="246"/>
      <c r="AM4" s="246"/>
      <c r="AN4" s="246"/>
      <c r="AO4" s="246"/>
      <c r="AP4" s="246"/>
      <c r="AQ4" s="246"/>
      <c r="AS4" s="232">
        <v>0</v>
      </c>
      <c r="AT4" s="278">
        <f>Q37</f>
        <v>212.7659574468085</v>
      </c>
      <c r="AU4" s="278">
        <f>(1-$D$11)*AT4</f>
        <v>212.7659574468085</v>
      </c>
      <c r="AV4" s="278"/>
      <c r="AW4" s="232"/>
      <c r="AX4" s="232">
        <f>IF(ISNUMBER(AS5),SUM(AU4:AV4),SUM(AU4:AW4))</f>
        <v>212.7659574468085</v>
      </c>
      <c r="AY4" s="279">
        <f t="shared" ref="AY4:AY30" si="0">LN(AX4+$J$37)-LN($J$37)</f>
        <v>0.55626108810918407</v>
      </c>
      <c r="AZ4" s="232">
        <f>IF(ISNUMBER(AS4),AY4/(1+$D$7)^AS4,0)</f>
        <v>0.55626108810918407</v>
      </c>
      <c r="BA4" s="232"/>
    </row>
    <row r="5" spans="1:54" ht="10.75" customHeight="1" thickBot="1" x14ac:dyDescent="0.25">
      <c r="A5" s="246"/>
      <c r="B5" s="564"/>
      <c r="C5" s="564"/>
      <c r="D5" s="564"/>
      <c r="E5" s="335"/>
      <c r="F5" s="567"/>
      <c r="G5" s="568"/>
      <c r="H5" s="256"/>
      <c r="I5" s="256"/>
      <c r="J5" s="246"/>
      <c r="K5" s="246"/>
      <c r="L5" s="246"/>
      <c r="M5" s="246"/>
      <c r="N5" s="246"/>
      <c r="O5" s="246"/>
      <c r="P5" s="246"/>
      <c r="Q5" s="422" t="s">
        <v>411</v>
      </c>
      <c r="R5" s="426">
        <f>D37/(1+D7)^10</f>
        <v>0.26900000000000002</v>
      </c>
      <c r="S5" s="426" t="e">
        <f>R5*(1-1/(1+D7)^G16)/(1-1/(1+D7))</f>
        <v>#DIV/0!</v>
      </c>
      <c r="T5" s="571" t="e">
        <f>S5*G11*G7*G9*G18*G8/G37</f>
        <v>#DIV/0!</v>
      </c>
      <c r="U5" s="571"/>
      <c r="V5" s="572">
        <f>$G$14*$G$10</f>
        <v>0</v>
      </c>
      <c r="W5" s="573"/>
      <c r="X5" s="238"/>
      <c r="Y5" s="246"/>
      <c r="Z5" s="357" t="s">
        <v>121</v>
      </c>
      <c r="AA5" s="358"/>
      <c r="AB5" s="359"/>
      <c r="AC5" s="247"/>
      <c r="AD5" s="238"/>
      <c r="AE5" s="244"/>
      <c r="AF5" s="246"/>
      <c r="AG5" s="246"/>
      <c r="AH5" s="246"/>
      <c r="AI5" s="246"/>
      <c r="AJ5" s="246"/>
      <c r="AK5" s="246"/>
      <c r="AL5" s="246"/>
      <c r="AM5" s="246"/>
      <c r="AN5" s="246"/>
      <c r="AO5" s="246"/>
      <c r="AP5" s="246"/>
      <c r="AQ5" s="246"/>
      <c r="AS5" s="232" t="str">
        <f t="shared" ref="AS5:AS68" si="1">IF(AS4&lt;$D$14,AS4+1,"")</f>
        <v/>
      </c>
      <c r="AT5" s="278">
        <f>AT4-AU4</f>
        <v>0</v>
      </c>
      <c r="AU5" s="278"/>
      <c r="AV5" s="278">
        <f t="shared" ref="AV5:AV71" si="2">$D$10*AT5</f>
        <v>0</v>
      </c>
      <c r="AW5" s="278">
        <f>AT5</f>
        <v>0</v>
      </c>
      <c r="AX5" s="232">
        <f t="shared" ref="AX5:AX14" si="3">IF(ISNUMBER(AS6),SUM(AU5:AV5),SUM(AU5:AW5))</f>
        <v>0</v>
      </c>
      <c r="AY5" s="279">
        <f t="shared" si="0"/>
        <v>0</v>
      </c>
      <c r="AZ5" s="232">
        <f t="shared" ref="AZ5:AZ71" si="4">IF(ISNUMBER(AS5),AY5/(1+$D$7)^AS5,0)</f>
        <v>0</v>
      </c>
      <c r="BA5" s="232">
        <f>SUM(AZ5:AZ114)</f>
        <v>0</v>
      </c>
      <c r="BB5" s="233">
        <f>SUM(AZ5:AZ23)</f>
        <v>0</v>
      </c>
    </row>
    <row r="6" spans="1:54" ht="15" x14ac:dyDescent="0.2">
      <c r="A6" s="246"/>
      <c r="B6" s="242"/>
      <c r="C6" s="587" t="s">
        <v>540</v>
      </c>
      <c r="D6" s="587"/>
      <c r="E6" s="271"/>
      <c r="F6" s="350" t="s">
        <v>541</v>
      </c>
      <c r="G6" s="351"/>
      <c r="H6" s="272"/>
      <c r="I6" s="587" t="s">
        <v>567</v>
      </c>
      <c r="J6" s="587"/>
      <c r="K6" s="272"/>
      <c r="L6" s="588" t="s">
        <v>390</v>
      </c>
      <c r="M6" s="588"/>
      <c r="N6" s="243"/>
      <c r="O6" s="238"/>
      <c r="P6" s="246"/>
      <c r="Q6" s="422" t="s">
        <v>412</v>
      </c>
      <c r="R6" s="426">
        <f>(M15*M11)/(1+D7)^10</f>
        <v>0</v>
      </c>
      <c r="S6" s="426" t="e">
        <f>R6*(1-1/(1+D7)^G16)/(1-1/(1+D7))</f>
        <v>#DIV/0!</v>
      </c>
      <c r="T6" s="571" t="e">
        <f>S6*M8*M9*M14*(W37/V37)*G11</f>
        <v>#DIV/0!</v>
      </c>
      <c r="U6" s="571"/>
      <c r="V6" s="572">
        <v>0</v>
      </c>
      <c r="W6" s="589"/>
      <c r="X6" s="238"/>
      <c r="Y6" s="246"/>
      <c r="Z6" s="360" t="s">
        <v>570</v>
      </c>
      <c r="AA6" s="361"/>
      <c r="AB6" s="362">
        <f>$G$7*$G$8*$G$9*G$18*$J7</f>
        <v>0</v>
      </c>
      <c r="AC6" s="247"/>
      <c r="AD6" s="590" t="s">
        <v>123</v>
      </c>
      <c r="AE6" s="574">
        <f>G10</f>
        <v>0</v>
      </c>
      <c r="AF6" s="246"/>
      <c r="AG6" s="246"/>
      <c r="AH6" s="246"/>
      <c r="AI6" s="246"/>
      <c r="AJ6" s="246"/>
      <c r="AK6" s="246"/>
      <c r="AL6" s="246"/>
      <c r="AM6" s="246"/>
      <c r="AN6" s="246"/>
      <c r="AO6" s="246"/>
      <c r="AP6" s="246"/>
      <c r="AQ6" s="246"/>
      <c r="AS6" s="232" t="str">
        <f t="shared" si="1"/>
        <v/>
      </c>
      <c r="AT6" s="278">
        <f t="shared" ref="AT6:AT72" si="5">IF(ISNUMBER(AS6),AW5,0)</f>
        <v>0</v>
      </c>
      <c r="AU6" s="278"/>
      <c r="AV6" s="278">
        <f t="shared" si="2"/>
        <v>0</v>
      </c>
      <c r="AW6" s="278">
        <f t="shared" ref="AW6:AW72" si="6">AT6</f>
        <v>0</v>
      </c>
      <c r="AX6" s="232">
        <f t="shared" si="3"/>
        <v>0</v>
      </c>
      <c r="AY6" s="279">
        <f t="shared" si="0"/>
        <v>0</v>
      </c>
      <c r="AZ6" s="232">
        <f t="shared" si="4"/>
        <v>0</v>
      </c>
      <c r="BA6" s="232"/>
    </row>
    <row r="7" spans="1:54" ht="20.5" customHeight="1" x14ac:dyDescent="0.2">
      <c r="A7" s="246"/>
      <c r="B7" s="576" t="s">
        <v>573</v>
      </c>
      <c r="C7" s="301" t="s">
        <v>528</v>
      </c>
      <c r="D7" s="139"/>
      <c r="E7" s="234"/>
      <c r="F7" s="321" t="s">
        <v>532</v>
      </c>
      <c r="G7" s="338"/>
      <c r="H7" s="236"/>
      <c r="I7" s="321" t="s">
        <v>536</v>
      </c>
      <c r="J7" s="381"/>
      <c r="K7" s="314"/>
      <c r="L7" s="321" t="s">
        <v>397</v>
      </c>
      <c r="M7" s="324"/>
      <c r="N7" s="244"/>
      <c r="O7" s="238"/>
      <c r="P7" s="246"/>
      <c r="Q7" s="247"/>
      <c r="R7" s="238"/>
      <c r="S7" s="238"/>
      <c r="T7" s="238"/>
      <c r="U7" s="318"/>
      <c r="V7" s="238"/>
      <c r="W7" s="244"/>
      <c r="X7" s="238"/>
      <c r="Y7" s="246"/>
      <c r="Z7" s="360" t="s">
        <v>560</v>
      </c>
      <c r="AA7" s="361"/>
      <c r="AB7" s="362">
        <f>$G$7*$G$8*$G$9*G$18*$J8</f>
        <v>0</v>
      </c>
      <c r="AC7" s="247"/>
      <c r="AD7" s="591"/>
      <c r="AE7" s="575"/>
      <c r="AF7" s="246"/>
      <c r="AG7" s="246"/>
      <c r="AH7" s="246"/>
      <c r="AI7" s="246"/>
      <c r="AJ7" s="246"/>
      <c r="AK7" s="246"/>
      <c r="AL7" s="246"/>
      <c r="AM7" s="246"/>
      <c r="AN7" s="246"/>
      <c r="AO7" s="246"/>
      <c r="AP7" s="246"/>
      <c r="AQ7" s="246"/>
      <c r="AS7" s="232" t="str">
        <f t="shared" si="1"/>
        <v/>
      </c>
      <c r="AT7" s="278">
        <f>IF(ISNUMBER(AS7),AW6,0)</f>
        <v>0</v>
      </c>
      <c r="AU7" s="278"/>
      <c r="AV7" s="278">
        <f t="shared" si="2"/>
        <v>0</v>
      </c>
      <c r="AW7" s="278">
        <f t="shared" si="6"/>
        <v>0</v>
      </c>
      <c r="AX7" s="232">
        <f t="shared" si="3"/>
        <v>0</v>
      </c>
      <c r="AY7" s="279">
        <f t="shared" si="0"/>
        <v>0</v>
      </c>
      <c r="AZ7" s="232">
        <f t="shared" si="4"/>
        <v>0</v>
      </c>
      <c r="BA7" s="232"/>
    </row>
    <row r="8" spans="1:54" ht="25" customHeight="1" thickBot="1" x14ac:dyDescent="0.25">
      <c r="A8" s="246"/>
      <c r="B8" s="576"/>
      <c r="C8" s="294"/>
      <c r="D8" s="294"/>
      <c r="E8" s="273"/>
      <c r="F8" s="323" t="s">
        <v>534</v>
      </c>
      <c r="G8" s="245"/>
      <c r="H8" s="237"/>
      <c r="I8" s="312" t="s">
        <v>537</v>
      </c>
      <c r="J8" s="379"/>
      <c r="K8" s="315"/>
      <c r="L8" s="312" t="s">
        <v>391</v>
      </c>
      <c r="M8" s="313"/>
      <c r="N8" s="244"/>
      <c r="O8" s="238"/>
      <c r="P8" s="246"/>
      <c r="Q8" s="577" t="s">
        <v>413</v>
      </c>
      <c r="R8" s="238"/>
      <c r="S8" s="425" t="s">
        <v>246</v>
      </c>
      <c r="T8" s="578" t="s">
        <v>562</v>
      </c>
      <c r="U8" s="578"/>
      <c r="V8" s="578" t="s">
        <v>446</v>
      </c>
      <c r="W8" s="662"/>
      <c r="X8" s="238"/>
      <c r="Y8" s="246"/>
      <c r="Z8" s="360" t="s">
        <v>566</v>
      </c>
      <c r="AA8" s="361"/>
      <c r="AB8" s="362" t="e">
        <f>$G$7*$G$8*$G$9*G$18/M18</f>
        <v>#DIV/0!</v>
      </c>
      <c r="AC8" s="374"/>
      <c r="AD8" s="375" t="s">
        <v>124</v>
      </c>
      <c r="AE8" s="376" t="e">
        <f>(AE6*U37)/S5</f>
        <v>#DIV/0!</v>
      </c>
      <c r="AF8" s="246"/>
      <c r="AG8" s="246"/>
      <c r="AH8" s="246"/>
      <c r="AI8" s="246"/>
      <c r="AJ8" s="246"/>
      <c r="AK8" s="246"/>
      <c r="AL8" s="246"/>
      <c r="AM8" s="246"/>
      <c r="AN8" s="246"/>
      <c r="AO8" s="246"/>
      <c r="AP8" s="246"/>
      <c r="AQ8" s="246"/>
      <c r="AS8" s="232" t="str">
        <f t="shared" si="1"/>
        <v/>
      </c>
      <c r="AT8" s="278">
        <f t="shared" si="5"/>
        <v>0</v>
      </c>
      <c r="AU8" s="278"/>
      <c r="AV8" s="278">
        <f t="shared" si="2"/>
        <v>0</v>
      </c>
      <c r="AW8" s="278">
        <f t="shared" si="6"/>
        <v>0</v>
      </c>
      <c r="AX8" s="232">
        <f t="shared" si="3"/>
        <v>0</v>
      </c>
      <c r="AY8" s="279">
        <f t="shared" si="0"/>
        <v>0</v>
      </c>
      <c r="AZ8" s="232">
        <f t="shared" si="4"/>
        <v>0</v>
      </c>
      <c r="BA8" s="232"/>
    </row>
    <row r="9" spans="1:54" ht="33" x14ac:dyDescent="0.2">
      <c r="A9" s="246"/>
      <c r="B9" s="576"/>
      <c r="C9" s="581" t="s">
        <v>542</v>
      </c>
      <c r="D9" s="581"/>
      <c r="E9" s="234"/>
      <c r="F9" s="312" t="s">
        <v>440</v>
      </c>
      <c r="G9" s="313"/>
      <c r="H9" s="237"/>
      <c r="I9" s="312" t="s">
        <v>386</v>
      </c>
      <c r="J9" s="379"/>
      <c r="K9" s="315"/>
      <c r="L9" s="312" t="s">
        <v>392</v>
      </c>
      <c r="M9" s="313"/>
      <c r="N9" s="244"/>
      <c r="O9" s="238"/>
      <c r="P9" s="246"/>
      <c r="Q9" s="577"/>
      <c r="R9" s="253" t="s">
        <v>572</v>
      </c>
      <c r="S9" s="468" t="e">
        <f>J11*($T$5*AB13*J14*J7+$V$5*(J7*$G$13))</f>
        <v>#DIV/0!</v>
      </c>
      <c r="T9" s="582" t="e">
        <f>S9/(J16/J9)</f>
        <v>#DIV/0!</v>
      </c>
      <c r="U9" s="582"/>
      <c r="V9" s="663" t="e">
        <f>($G$10*$U$37)/T9</f>
        <v>#DIV/0!</v>
      </c>
      <c r="W9" s="664"/>
      <c r="X9" s="238"/>
      <c r="Y9" s="387"/>
      <c r="Z9" s="585" t="s">
        <v>288</v>
      </c>
      <c r="AA9" s="586"/>
      <c r="AB9" s="411"/>
      <c r="AC9" s="246"/>
      <c r="AD9" s="246"/>
      <c r="AE9" s="388"/>
      <c r="AF9" s="246"/>
      <c r="AG9" s="246"/>
      <c r="AH9" s="246"/>
      <c r="AI9" s="246"/>
      <c r="AJ9" s="246"/>
      <c r="AK9" s="246"/>
      <c r="AL9" s="246"/>
      <c r="AM9" s="246"/>
      <c r="AN9" s="246"/>
      <c r="AO9" s="246"/>
      <c r="AP9" s="246"/>
      <c r="AQ9" s="246"/>
      <c r="AS9" s="232" t="str">
        <f t="shared" si="1"/>
        <v/>
      </c>
      <c r="AT9" s="278">
        <f t="shared" si="5"/>
        <v>0</v>
      </c>
      <c r="AU9" s="278"/>
      <c r="AV9" s="278">
        <f t="shared" si="2"/>
        <v>0</v>
      </c>
      <c r="AW9" s="278">
        <f t="shared" si="6"/>
        <v>0</v>
      </c>
      <c r="AX9" s="232">
        <f>IF(ISNUMBER(AS10),SUM(AU9:AV9),SUM(AU9:AW9))</f>
        <v>0</v>
      </c>
      <c r="AY9" s="279">
        <f t="shared" si="0"/>
        <v>0</v>
      </c>
      <c r="AZ9" s="232">
        <f t="shared" si="4"/>
        <v>0</v>
      </c>
      <c r="BA9" s="232"/>
    </row>
    <row r="10" spans="1:54" ht="39.75" customHeight="1" x14ac:dyDescent="0.2">
      <c r="A10" s="246"/>
      <c r="B10" s="576"/>
      <c r="C10" s="291" t="s">
        <v>531</v>
      </c>
      <c r="D10" s="292"/>
      <c r="E10" s="284"/>
      <c r="F10" s="312" t="s">
        <v>231</v>
      </c>
      <c r="G10" s="503"/>
      <c r="H10" s="285"/>
      <c r="I10" s="312" t="s">
        <v>387</v>
      </c>
      <c r="J10" s="379"/>
      <c r="K10" s="315"/>
      <c r="L10" s="312" t="s">
        <v>406</v>
      </c>
      <c r="M10" s="313"/>
      <c r="N10" s="244"/>
      <c r="O10" s="238"/>
      <c r="P10" s="246"/>
      <c r="Q10" s="577"/>
      <c r="R10" s="253" t="s">
        <v>14</v>
      </c>
      <c r="S10" s="468" t="e">
        <f>J18*($T$5*AB14*J15*J8+$V$5*(J8*$G$13))</f>
        <v>#DIV/0!</v>
      </c>
      <c r="T10" s="582" t="e">
        <f>S10/(J17/J10)</f>
        <v>#DIV/0!</v>
      </c>
      <c r="U10" s="582"/>
      <c r="V10" s="663" t="e">
        <f>($G$10*$U$37)/T10</f>
        <v>#DIV/0!</v>
      </c>
      <c r="W10" s="664"/>
      <c r="X10" s="238"/>
      <c r="Y10" s="246"/>
      <c r="Z10" s="592" t="s">
        <v>105</v>
      </c>
      <c r="AA10" s="593"/>
      <c r="AB10" s="377"/>
      <c r="AC10" s="246"/>
      <c r="AD10" s="387"/>
      <c r="AE10" s="388"/>
      <c r="AF10" s="246"/>
      <c r="AG10" s="246"/>
      <c r="AH10" s="246"/>
      <c r="AI10" s="246"/>
      <c r="AJ10" s="246"/>
      <c r="AK10" s="246"/>
      <c r="AL10" s="246"/>
      <c r="AM10" s="246"/>
      <c r="AN10" s="246"/>
      <c r="AO10" s="246"/>
      <c r="AP10" s="246"/>
      <c r="AQ10" s="246"/>
      <c r="AS10" s="232" t="str">
        <f t="shared" si="1"/>
        <v/>
      </c>
      <c r="AT10" s="278">
        <f>IF(ISNUMBER(AS10),AW9,0)</f>
        <v>0</v>
      </c>
      <c r="AU10" s="278"/>
      <c r="AV10" s="278">
        <f t="shared" si="2"/>
        <v>0</v>
      </c>
      <c r="AW10" s="278">
        <f t="shared" si="6"/>
        <v>0</v>
      </c>
      <c r="AX10" s="232">
        <f>IF(ISNUMBER(AS11),SUM(AU10:AV10),SUM(AU10:AW10))</f>
        <v>0</v>
      </c>
      <c r="AY10" s="279">
        <f t="shared" si="0"/>
        <v>0</v>
      </c>
      <c r="AZ10" s="232">
        <f t="shared" si="4"/>
        <v>0</v>
      </c>
      <c r="BA10" s="232"/>
    </row>
    <row r="11" spans="1:54" ht="33" customHeight="1" x14ac:dyDescent="0.2">
      <c r="A11" s="246"/>
      <c r="B11" s="576"/>
      <c r="C11" s="298" t="s">
        <v>533</v>
      </c>
      <c r="D11" s="299"/>
      <c r="E11" s="235"/>
      <c r="F11" s="312" t="s">
        <v>241</v>
      </c>
      <c r="G11" s="503"/>
      <c r="H11" s="238"/>
      <c r="I11" s="312" t="s">
        <v>230</v>
      </c>
      <c r="J11" s="379"/>
      <c r="K11" s="315"/>
      <c r="L11" s="312" t="s">
        <v>405</v>
      </c>
      <c r="M11" s="313"/>
      <c r="N11" s="244"/>
      <c r="O11" s="246"/>
      <c r="P11" s="246"/>
      <c r="Q11" s="577"/>
      <c r="R11" s="253" t="s">
        <v>566</v>
      </c>
      <c r="S11" s="468" t="s">
        <v>120</v>
      </c>
      <c r="T11" s="582" t="e">
        <f>(1/S37)*(1/M18)*T5*AB15+(1/R37)*U37*G10</f>
        <v>#DIV/0!</v>
      </c>
      <c r="U11" s="582" t="e">
        <f>(1/S37)*(1/M18)*T5+1/R37*(G10*S5)</f>
        <v>#DIV/0!</v>
      </c>
      <c r="V11" s="663" t="e">
        <f>($G$10*$U$37)/T11</f>
        <v>#DIV/0!</v>
      </c>
      <c r="W11" s="664"/>
      <c r="X11" s="238"/>
      <c r="Y11" s="246"/>
      <c r="Z11" s="247"/>
      <c r="AA11" s="238"/>
      <c r="AB11" s="244"/>
      <c r="AC11" s="246"/>
      <c r="AD11" s="246"/>
      <c r="AE11" s="246"/>
      <c r="AF11" s="246"/>
      <c r="AG11" s="246"/>
      <c r="AH11" s="246"/>
      <c r="AI11" s="246"/>
      <c r="AJ11" s="246"/>
      <c r="AK11" s="246"/>
      <c r="AL11" s="246"/>
      <c r="AM11" s="246"/>
      <c r="AN11" s="246"/>
      <c r="AO11" s="246"/>
      <c r="AP11" s="246"/>
      <c r="AQ11" s="246"/>
      <c r="AS11" s="232" t="str">
        <f t="shared" si="1"/>
        <v/>
      </c>
      <c r="AT11" s="278">
        <f>IF(ISNUMBER(AS11),AW10,0)</f>
        <v>0</v>
      </c>
      <c r="AU11" s="278"/>
      <c r="AV11" s="278">
        <f t="shared" si="2"/>
        <v>0</v>
      </c>
      <c r="AW11" s="278">
        <f t="shared" si="6"/>
        <v>0</v>
      </c>
      <c r="AX11" s="232">
        <f>IF(ISNUMBER(AS12),SUM(AU11:AV11),SUM(AU11:AW11))</f>
        <v>0</v>
      </c>
      <c r="AY11" s="279">
        <f t="shared" si="0"/>
        <v>0</v>
      </c>
      <c r="AZ11" s="232">
        <f t="shared" si="4"/>
        <v>0</v>
      </c>
      <c r="BA11" s="232"/>
    </row>
    <row r="12" spans="1:54" ht="22.75" customHeight="1" thickBot="1" x14ac:dyDescent="0.25">
      <c r="A12" s="246"/>
      <c r="B12" s="247"/>
      <c r="C12" s="241"/>
      <c r="D12" s="240"/>
      <c r="E12" s="234"/>
      <c r="F12" s="390"/>
      <c r="G12" s="391"/>
      <c r="H12" s="241"/>
      <c r="I12" s="241"/>
      <c r="J12" s="380"/>
      <c r="K12" s="238"/>
      <c r="L12" s="312" t="s">
        <v>399</v>
      </c>
      <c r="M12" s="313"/>
      <c r="N12" s="244"/>
      <c r="O12" s="238"/>
      <c r="P12" s="246"/>
      <c r="Q12" s="293"/>
      <c r="R12" s="253" t="s">
        <v>396</v>
      </c>
      <c r="S12" s="428" t="e">
        <f>T6*M12</f>
        <v>#DIV/0!</v>
      </c>
      <c r="T12" s="582" t="e">
        <f>M13*S12/(M7/M10)</f>
        <v>#DIV/0!</v>
      </c>
      <c r="U12" s="582"/>
      <c r="V12" s="594" t="s">
        <v>120</v>
      </c>
      <c r="W12" s="595"/>
      <c r="X12" s="238"/>
      <c r="Y12" s="246"/>
      <c r="Z12" s="363" t="s">
        <v>286</v>
      </c>
      <c r="AA12" s="358"/>
      <c r="AB12" s="364"/>
      <c r="AC12" s="246"/>
      <c r="AD12" s="246"/>
      <c r="AE12" s="246"/>
      <c r="AF12" s="246"/>
      <c r="AG12" s="246"/>
      <c r="AH12" s="246"/>
      <c r="AI12" s="246"/>
      <c r="AJ12" s="246"/>
      <c r="AK12" s="246"/>
      <c r="AL12" s="246"/>
      <c r="AM12" s="246"/>
      <c r="AN12" s="246"/>
      <c r="AO12" s="246"/>
      <c r="AP12" s="246"/>
      <c r="AQ12" s="246"/>
      <c r="AS12" s="232" t="str">
        <f t="shared" si="1"/>
        <v/>
      </c>
      <c r="AT12" s="278">
        <f>IF(ISNUMBER(AS12),AW11,0)</f>
        <v>0</v>
      </c>
      <c r="AU12" s="278"/>
      <c r="AV12" s="278">
        <f t="shared" si="2"/>
        <v>0</v>
      </c>
      <c r="AW12" s="278">
        <f t="shared" si="6"/>
        <v>0</v>
      </c>
      <c r="AX12" s="232">
        <f>IF(ISNUMBER(AS13),SUM(AU12:AV12),SUM(AU12:AW12))</f>
        <v>0</v>
      </c>
      <c r="AY12" s="279">
        <f t="shared" si="0"/>
        <v>0</v>
      </c>
      <c r="AZ12" s="232">
        <f t="shared" si="4"/>
        <v>0</v>
      </c>
      <c r="BA12" s="232"/>
    </row>
    <row r="13" spans="1:54" ht="30.75" customHeight="1" x14ac:dyDescent="0.2">
      <c r="A13" s="246"/>
      <c r="B13" s="247"/>
      <c r="C13" s="241"/>
      <c r="D13" s="240"/>
      <c r="E13" s="234"/>
      <c r="F13" s="389" t="s">
        <v>80</v>
      </c>
      <c r="G13" s="507"/>
      <c r="H13" s="238"/>
      <c r="I13" s="241"/>
      <c r="J13" s="380"/>
      <c r="K13" s="238"/>
      <c r="L13" s="312" t="s">
        <v>398</v>
      </c>
      <c r="M13" s="313"/>
      <c r="N13" s="244"/>
      <c r="O13" s="238"/>
      <c r="P13" s="246"/>
      <c r="Q13" s="596" t="s">
        <v>122</v>
      </c>
      <c r="R13" s="423" t="s">
        <v>442</v>
      </c>
      <c r="S13" s="423" t="s">
        <v>563</v>
      </c>
      <c r="T13" s="569" t="s">
        <v>564</v>
      </c>
      <c r="U13" s="569"/>
      <c r="V13" s="569" t="s">
        <v>562</v>
      </c>
      <c r="W13" s="570"/>
      <c r="X13" s="238"/>
      <c r="Y13" s="246"/>
      <c r="Z13" s="360" t="s">
        <v>570</v>
      </c>
      <c r="AA13" s="361"/>
      <c r="AB13" s="365" t="e">
        <f>IF($AB$10="Yes",MAX(AB6,$AB$9),AB6)/AB6</f>
        <v>#DIV/0!</v>
      </c>
      <c r="AC13" s="246"/>
      <c r="AD13" s="246"/>
      <c r="AE13" s="246"/>
      <c r="AF13" s="246"/>
      <c r="AG13" s="246"/>
      <c r="AH13" s="246"/>
      <c r="AI13" s="246"/>
      <c r="AJ13" s="246"/>
      <c r="AK13" s="246"/>
      <c r="AL13" s="246"/>
      <c r="AM13" s="246"/>
      <c r="AN13" s="246"/>
      <c r="AO13" s="246"/>
      <c r="AP13" s="246"/>
      <c r="AQ13" s="246"/>
      <c r="AS13" s="232" t="str">
        <f t="shared" si="1"/>
        <v/>
      </c>
      <c r="AT13" s="278">
        <f>IF(ISNUMBER(AS13),AW12,0)</f>
        <v>0</v>
      </c>
      <c r="AU13" s="278"/>
      <c r="AV13" s="278">
        <f t="shared" si="2"/>
        <v>0</v>
      </c>
      <c r="AW13" s="278">
        <f t="shared" si="6"/>
        <v>0</v>
      </c>
      <c r="AX13" s="232">
        <f t="shared" si="3"/>
        <v>0</v>
      </c>
      <c r="AY13" s="279">
        <f t="shared" si="0"/>
        <v>0</v>
      </c>
      <c r="AZ13" s="232">
        <f t="shared" si="4"/>
        <v>0</v>
      </c>
      <c r="BA13" s="232"/>
    </row>
    <row r="14" spans="1:54" ht="21" customHeight="1" thickBot="1" x14ac:dyDescent="0.25">
      <c r="A14" s="246"/>
      <c r="B14" s="597" t="s">
        <v>366</v>
      </c>
      <c r="C14" s="598" t="s">
        <v>529</v>
      </c>
      <c r="D14" s="600"/>
      <c r="E14" s="235"/>
      <c r="F14" s="598" t="s">
        <v>530</v>
      </c>
      <c r="G14" s="600"/>
      <c r="H14" s="238"/>
      <c r="I14" s="300" t="s">
        <v>539</v>
      </c>
      <c r="J14" s="382"/>
      <c r="K14" s="316"/>
      <c r="L14" s="312" t="s">
        <v>400</v>
      </c>
      <c r="M14" s="313"/>
      <c r="N14" s="244"/>
      <c r="O14" s="238"/>
      <c r="P14" s="246"/>
      <c r="Q14" s="577"/>
      <c r="R14" s="424">
        <f>BA5</f>
        <v>0</v>
      </c>
      <c r="S14" s="424">
        <f>AZ4</f>
        <v>0.55626108810918407</v>
      </c>
      <c r="T14" s="602">
        <f>R14+S14</f>
        <v>0.55626108810918407</v>
      </c>
      <c r="U14" s="602"/>
      <c r="V14" s="582" t="e">
        <f>T14/(Model!Q37/Model!D16)</f>
        <v>#DIV/0!</v>
      </c>
      <c r="W14" s="603"/>
      <c r="X14" s="238"/>
      <c r="Y14" s="387"/>
      <c r="Z14" s="360" t="s">
        <v>560</v>
      </c>
      <c r="AA14" s="361"/>
      <c r="AB14" s="365" t="e">
        <f>IF($AB$10="Yes",MAX(AB7,$AB$9),AB7)/AB7</f>
        <v>#DIV/0!</v>
      </c>
      <c r="AC14" s="246"/>
      <c r="AD14" s="246"/>
      <c r="AE14" s="246"/>
      <c r="AF14" s="246"/>
      <c r="AG14" s="246"/>
      <c r="AH14" s="246"/>
      <c r="AI14" s="246"/>
      <c r="AJ14" s="246"/>
      <c r="AK14" s="246"/>
      <c r="AL14" s="246"/>
      <c r="AM14" s="246"/>
      <c r="AN14" s="246"/>
      <c r="AO14" s="246"/>
      <c r="AP14" s="246"/>
      <c r="AQ14" s="246"/>
      <c r="AS14" s="232" t="str">
        <f t="shared" si="1"/>
        <v/>
      </c>
      <c r="AT14" s="278">
        <f t="shared" si="5"/>
        <v>0</v>
      </c>
      <c r="AU14" s="278"/>
      <c r="AV14" s="278">
        <f t="shared" si="2"/>
        <v>0</v>
      </c>
      <c r="AW14" s="278">
        <f t="shared" si="6"/>
        <v>0</v>
      </c>
      <c r="AX14" s="232">
        <f t="shared" si="3"/>
        <v>0</v>
      </c>
      <c r="AY14" s="279">
        <f t="shared" si="0"/>
        <v>0</v>
      </c>
      <c r="AZ14" s="232">
        <f t="shared" si="4"/>
        <v>0</v>
      </c>
      <c r="BA14" s="232"/>
    </row>
    <row r="15" spans="1:54" ht="21" customHeight="1" thickBot="1" x14ac:dyDescent="0.25">
      <c r="A15" s="246"/>
      <c r="B15" s="597"/>
      <c r="C15" s="599"/>
      <c r="D15" s="601"/>
      <c r="E15" s="235"/>
      <c r="F15" s="599"/>
      <c r="G15" s="601"/>
      <c r="H15" s="238"/>
      <c r="I15" s="300" t="s">
        <v>538</v>
      </c>
      <c r="J15" s="383"/>
      <c r="K15" s="316"/>
      <c r="L15" s="322" t="s">
        <v>403</v>
      </c>
      <c r="M15" s="337"/>
      <c r="N15" s="244"/>
      <c r="O15" s="238"/>
      <c r="P15" s="246"/>
      <c r="Q15" s="421" t="s">
        <v>129</v>
      </c>
      <c r="R15" s="415"/>
      <c r="S15" s="420" t="s">
        <v>561</v>
      </c>
      <c r="T15" s="604" t="s">
        <v>560</v>
      </c>
      <c r="U15" s="605"/>
      <c r="V15" s="420" t="s">
        <v>566</v>
      </c>
      <c r="W15" s="430" t="s">
        <v>576</v>
      </c>
      <c r="X15" s="238"/>
      <c r="Y15" s="387"/>
      <c r="Z15" s="366" t="s">
        <v>566</v>
      </c>
      <c r="AA15" s="367"/>
      <c r="AB15" s="368" t="e">
        <f>IF($AB$10="Yes",MAX(AB8,$AB$9),AB8)/AB8</f>
        <v>#DIV/0!</v>
      </c>
      <c r="AC15" s="246"/>
      <c r="AD15" s="246"/>
      <c r="AE15" s="246"/>
      <c r="AF15" s="246"/>
      <c r="AG15" s="246"/>
      <c r="AH15" s="246"/>
      <c r="AI15" s="246"/>
      <c r="AJ15" s="246"/>
      <c r="AK15" s="246"/>
      <c r="AL15" s="246"/>
      <c r="AM15" s="246"/>
      <c r="AN15" s="246"/>
      <c r="AO15" s="246"/>
      <c r="AP15" s="246"/>
      <c r="AQ15" s="246"/>
      <c r="AS15" s="232" t="str">
        <f t="shared" si="1"/>
        <v/>
      </c>
      <c r="AT15" s="278">
        <f t="shared" si="5"/>
        <v>0</v>
      </c>
      <c r="AU15" s="278"/>
      <c r="AV15" s="278">
        <f t="shared" si="2"/>
        <v>0</v>
      </c>
      <c r="AW15" s="278">
        <f t="shared" si="6"/>
        <v>0</v>
      </c>
      <c r="AX15" s="232">
        <f>IF(ISNUMBER(AS16),SUM(AU15:AV15),SUM(AU15:AW15))</f>
        <v>0</v>
      </c>
      <c r="AY15" s="279">
        <f t="shared" si="0"/>
        <v>0</v>
      </c>
      <c r="AZ15" s="232">
        <f t="shared" si="4"/>
        <v>0</v>
      </c>
      <c r="BA15" s="232"/>
    </row>
    <row r="16" spans="1:54" ht="21" customHeight="1" x14ac:dyDescent="0.2">
      <c r="A16" s="246"/>
      <c r="B16" s="597"/>
      <c r="C16" s="606" t="s">
        <v>547</v>
      </c>
      <c r="D16" s="608"/>
      <c r="E16" s="235"/>
      <c r="F16" s="606" t="s">
        <v>345</v>
      </c>
      <c r="G16" s="610"/>
      <c r="H16" s="238"/>
      <c r="I16" s="296" t="s">
        <v>556</v>
      </c>
      <c r="J16" s="384"/>
      <c r="K16" s="317"/>
      <c r="L16" s="238"/>
      <c r="M16" s="238"/>
      <c r="N16" s="244"/>
      <c r="O16" s="238"/>
      <c r="P16" s="246"/>
      <c r="Q16" s="422"/>
      <c r="R16" s="413" t="s">
        <v>126</v>
      </c>
      <c r="S16" s="490" t="e">
        <f>$T9/$T$9</f>
        <v>#DIV/0!</v>
      </c>
      <c r="T16" s="612" t="e">
        <f>$T9/$T$10</f>
        <v>#DIV/0!</v>
      </c>
      <c r="U16" s="613"/>
      <c r="V16" s="490" t="e">
        <f>$T9/$T$11</f>
        <v>#DIV/0!</v>
      </c>
      <c r="W16" s="491" t="e">
        <f>$T9/$V$14</f>
        <v>#DIV/0!</v>
      </c>
      <c r="X16" s="238"/>
      <c r="Y16" s="387"/>
      <c r="Z16" s="246"/>
      <c r="AA16" s="246"/>
      <c r="AB16" s="246"/>
      <c r="AC16" s="246"/>
      <c r="AD16" s="246"/>
      <c r="AE16" s="246"/>
      <c r="AF16" s="246"/>
      <c r="AG16" s="246"/>
      <c r="AH16" s="246"/>
      <c r="AI16" s="246"/>
      <c r="AJ16" s="246"/>
      <c r="AK16" s="246"/>
      <c r="AL16" s="246"/>
      <c r="AM16" s="246"/>
      <c r="AN16" s="246"/>
      <c r="AO16" s="246"/>
      <c r="AP16" s="246"/>
      <c r="AQ16" s="246"/>
      <c r="AS16" s="232" t="str">
        <f t="shared" si="1"/>
        <v/>
      </c>
      <c r="AT16" s="278">
        <f t="shared" si="5"/>
        <v>0</v>
      </c>
      <c r="AU16" s="278"/>
      <c r="AV16" s="278">
        <f t="shared" si="2"/>
        <v>0</v>
      </c>
      <c r="AW16" s="278">
        <f t="shared" si="6"/>
        <v>0</v>
      </c>
      <c r="AX16" s="232">
        <f t="shared" ref="AX16:AX81" si="7">IF(ISNUMBER(AS17),SUM(AU16:AV16),SUM(AU16:AW16))</f>
        <v>0</v>
      </c>
      <c r="AY16" s="279">
        <f t="shared" si="0"/>
        <v>0</v>
      </c>
      <c r="AZ16" s="232">
        <f t="shared" si="4"/>
        <v>0</v>
      </c>
      <c r="BA16" s="232"/>
    </row>
    <row r="17" spans="1:54" ht="31.75" customHeight="1" x14ac:dyDescent="0.2">
      <c r="A17" s="246"/>
      <c r="B17" s="597"/>
      <c r="C17" s="607"/>
      <c r="D17" s="609"/>
      <c r="E17" s="235"/>
      <c r="F17" s="599"/>
      <c r="G17" s="611"/>
      <c r="H17" s="238"/>
      <c r="I17" s="297" t="s">
        <v>535</v>
      </c>
      <c r="J17" s="385"/>
      <c r="K17" s="317"/>
      <c r="L17" s="614" t="s">
        <v>566</v>
      </c>
      <c r="M17" s="614"/>
      <c r="N17" s="244"/>
      <c r="O17" s="238"/>
      <c r="P17" s="246"/>
      <c r="Q17" s="422"/>
      <c r="R17" s="413" t="s">
        <v>127</v>
      </c>
      <c r="S17" s="490" t="e">
        <f>$T10/$T$9</f>
        <v>#DIV/0!</v>
      </c>
      <c r="T17" s="612" t="e">
        <f>$T10/$T$10</f>
        <v>#DIV/0!</v>
      </c>
      <c r="U17" s="613"/>
      <c r="V17" s="490" t="e">
        <f>$T10/$T$11</f>
        <v>#DIV/0!</v>
      </c>
      <c r="W17" s="491" t="e">
        <f>$T10/$V$14</f>
        <v>#DIV/0!</v>
      </c>
      <c r="X17" s="238"/>
      <c r="Y17" s="387"/>
      <c r="Z17" s="246"/>
      <c r="AA17" s="246"/>
      <c r="AB17" s="246"/>
      <c r="AC17" s="246"/>
      <c r="AD17" s="246"/>
      <c r="AE17" s="246"/>
      <c r="AF17" s="246"/>
      <c r="AG17" s="246"/>
      <c r="AH17" s="246"/>
      <c r="AI17" s="246"/>
      <c r="AJ17" s="246"/>
      <c r="AK17" s="246"/>
      <c r="AL17" s="246"/>
      <c r="AM17" s="246"/>
      <c r="AN17" s="246"/>
      <c r="AO17" s="246"/>
      <c r="AP17" s="246"/>
      <c r="AQ17" s="246"/>
      <c r="AS17" s="232" t="str">
        <f>IF(AS16&lt;$D$14,AS16+1,"")</f>
        <v/>
      </c>
      <c r="AT17" s="278">
        <f>IF(ISNUMBER(AS17),AW16,0)</f>
        <v>0</v>
      </c>
      <c r="AU17" s="278"/>
      <c r="AV17" s="278">
        <f t="shared" si="2"/>
        <v>0</v>
      </c>
      <c r="AW17" s="278">
        <f t="shared" si="6"/>
        <v>0</v>
      </c>
      <c r="AX17" s="232">
        <f>IF(ISNUMBER(AS18),SUM(AU17:AV17),SUM(AU17:AW17))</f>
        <v>0</v>
      </c>
      <c r="AY17" s="279">
        <f t="shared" si="0"/>
        <v>0</v>
      </c>
      <c r="AZ17" s="232">
        <f t="shared" si="4"/>
        <v>0</v>
      </c>
      <c r="BA17" s="232"/>
    </row>
    <row r="18" spans="1:54" ht="30.75" customHeight="1" x14ac:dyDescent="0.2">
      <c r="A18" s="246"/>
      <c r="B18" s="597"/>
      <c r="C18" s="238"/>
      <c r="D18" s="238"/>
      <c r="E18" s="235"/>
      <c r="F18" s="310" t="s">
        <v>372</v>
      </c>
      <c r="G18" s="308"/>
      <c r="H18" s="238"/>
      <c r="I18" s="307" t="s">
        <v>229</v>
      </c>
      <c r="J18" s="306"/>
      <c r="K18" s="316"/>
      <c r="L18" s="312" t="s">
        <v>78</v>
      </c>
      <c r="M18" s="137"/>
      <c r="N18" s="244"/>
      <c r="O18" s="238"/>
      <c r="P18" s="238"/>
      <c r="Q18" s="422"/>
      <c r="R18" s="413" t="s">
        <v>128</v>
      </c>
      <c r="S18" s="490" t="e">
        <f>$T11/$T$9</f>
        <v>#DIV/0!</v>
      </c>
      <c r="T18" s="612" t="e">
        <f>$T11/$T$10</f>
        <v>#DIV/0!</v>
      </c>
      <c r="U18" s="613"/>
      <c r="V18" s="490" t="e">
        <f>$T11/$T$11</f>
        <v>#DIV/0!</v>
      </c>
      <c r="W18" s="491" t="e">
        <f>$T11/$V$14</f>
        <v>#DIV/0!</v>
      </c>
      <c r="X18" s="238"/>
      <c r="Y18" s="246"/>
      <c r="Z18" s="246"/>
      <c r="AA18" s="246"/>
      <c r="AB18" s="246"/>
      <c r="AC18" s="246"/>
      <c r="AD18" s="246"/>
      <c r="AE18" s="246"/>
      <c r="AF18" s="246"/>
      <c r="AG18" s="246"/>
      <c r="AH18" s="246"/>
      <c r="AI18" s="246"/>
      <c r="AJ18" s="246"/>
      <c r="AK18" s="246"/>
      <c r="AL18" s="246"/>
      <c r="AM18" s="246"/>
      <c r="AN18" s="246"/>
      <c r="AO18" s="246"/>
      <c r="AP18" s="246"/>
      <c r="AQ18" s="246"/>
      <c r="AS18" s="232" t="str">
        <f>IF(AS17&lt;$D$14,AS17+1,"")</f>
        <v/>
      </c>
      <c r="AT18" s="278">
        <f>IF(ISNUMBER(AS18),AW17,0)</f>
        <v>0</v>
      </c>
      <c r="AU18" s="278"/>
      <c r="AV18" s="278">
        <f t="shared" si="2"/>
        <v>0</v>
      </c>
      <c r="AW18" s="278">
        <f t="shared" si="6"/>
        <v>0</v>
      </c>
      <c r="AX18" s="232">
        <f>IF(ISNUMBER(AS19),SUM(AU18:AV18),SUM(AU18:AW18))</f>
        <v>0</v>
      </c>
      <c r="AY18" s="279">
        <f t="shared" si="0"/>
        <v>0</v>
      </c>
      <c r="AZ18" s="232">
        <f t="shared" si="4"/>
        <v>0</v>
      </c>
      <c r="BA18" s="232"/>
    </row>
    <row r="19" spans="1:54" ht="21" customHeight="1" thickBot="1" x14ac:dyDescent="0.25">
      <c r="A19" s="246"/>
      <c r="B19" s="302"/>
      <c r="C19" s="239"/>
      <c r="D19" s="239"/>
      <c r="E19" s="239"/>
      <c r="F19" s="303"/>
      <c r="G19" s="304"/>
      <c r="H19" s="239"/>
      <c r="I19" s="239"/>
      <c r="J19" s="239"/>
      <c r="K19" s="239"/>
      <c r="L19" s="319"/>
      <c r="M19" s="239"/>
      <c r="N19" s="305"/>
      <c r="O19" s="238"/>
      <c r="P19" s="246"/>
      <c r="Q19" s="427"/>
      <c r="R19" s="414" t="s">
        <v>130</v>
      </c>
      <c r="S19" s="492" t="e">
        <f>$V14/$T$9</f>
        <v>#DIV/0!</v>
      </c>
      <c r="T19" s="615" t="e">
        <f>$V14/$T$10</f>
        <v>#DIV/0!</v>
      </c>
      <c r="U19" s="616"/>
      <c r="V19" s="492" t="e">
        <f>$V14/$T$11</f>
        <v>#DIV/0!</v>
      </c>
      <c r="W19" s="493" t="e">
        <f>$V14/$V$14</f>
        <v>#DIV/0!</v>
      </c>
      <c r="X19" s="238"/>
      <c r="Y19" s="246"/>
      <c r="Z19" s="246"/>
      <c r="AA19" s="246"/>
      <c r="AB19" s="246"/>
      <c r="AC19" s="246"/>
      <c r="AD19" s="246"/>
      <c r="AE19" s="246"/>
      <c r="AF19" s="246"/>
      <c r="AG19" s="246"/>
      <c r="AH19" s="246"/>
      <c r="AI19" s="246"/>
      <c r="AJ19" s="246"/>
      <c r="AK19" s="246"/>
      <c r="AL19" s="246"/>
      <c r="AM19" s="246"/>
      <c r="AN19" s="246"/>
      <c r="AO19" s="246"/>
      <c r="AP19" s="246"/>
      <c r="AQ19" s="246"/>
      <c r="AS19" s="232" t="str">
        <f>IF(AS18&lt;$D$14,AS18+1,"")</f>
        <v/>
      </c>
      <c r="AT19" s="278">
        <f>IF(ISNUMBER(AS19),AW18,0)</f>
        <v>0</v>
      </c>
      <c r="AU19" s="278"/>
      <c r="AV19" s="278">
        <f t="shared" si="2"/>
        <v>0</v>
      </c>
      <c r="AW19" s="278">
        <f t="shared" si="6"/>
        <v>0</v>
      </c>
      <c r="AX19" s="232">
        <f t="shared" si="7"/>
        <v>0</v>
      </c>
      <c r="AY19" s="279">
        <f t="shared" si="0"/>
        <v>0</v>
      </c>
      <c r="AZ19" s="232">
        <f t="shared" si="4"/>
        <v>0</v>
      </c>
      <c r="BA19" s="232"/>
    </row>
    <row r="20" spans="1:54" ht="9.75" customHeight="1" thickBot="1" x14ac:dyDescent="0.25">
      <c r="A20" s="246"/>
      <c r="B20" s="246"/>
      <c r="C20" s="246"/>
      <c r="D20" s="246"/>
      <c r="E20" s="246"/>
      <c r="F20" s="246"/>
      <c r="G20" s="246"/>
      <c r="H20" s="246"/>
      <c r="I20" s="246"/>
      <c r="J20" s="246"/>
      <c r="K20" s="246"/>
      <c r="L20" s="246"/>
      <c r="M20" s="246"/>
      <c r="N20" s="246"/>
      <c r="O20" s="246"/>
      <c r="P20" s="246"/>
      <c r="Q20" s="238"/>
      <c r="R20" s="238"/>
      <c r="S20" s="238"/>
      <c r="T20" s="238"/>
      <c r="U20" s="238"/>
      <c r="V20" s="238"/>
      <c r="W20" s="238"/>
      <c r="Y20" s="246"/>
      <c r="Z20" s="246"/>
      <c r="AA20" s="246"/>
      <c r="AB20" s="246"/>
      <c r="AC20" s="246"/>
      <c r="AD20" s="246"/>
      <c r="AE20" s="246"/>
      <c r="AF20" s="246"/>
      <c r="AG20" s="246"/>
      <c r="AH20" s="246"/>
      <c r="AI20" s="246"/>
      <c r="AJ20" s="246"/>
      <c r="AK20" s="246"/>
      <c r="AL20" s="246"/>
      <c r="AM20" s="246"/>
      <c r="AN20" s="246"/>
      <c r="AO20" s="246"/>
      <c r="AP20" s="246"/>
      <c r="AQ20" s="246"/>
      <c r="AS20" s="232" t="str">
        <f t="shared" si="1"/>
        <v/>
      </c>
      <c r="AT20" s="278">
        <f t="shared" si="5"/>
        <v>0</v>
      </c>
      <c r="AU20" s="278"/>
      <c r="AV20" s="278">
        <f t="shared" si="2"/>
        <v>0</v>
      </c>
      <c r="AW20" s="278">
        <f t="shared" si="6"/>
        <v>0</v>
      </c>
      <c r="AX20" s="232">
        <f>IF(ISNUMBER(AS21),SUM(AU20:AV20),SUM(AU20:AW20))</f>
        <v>0</v>
      </c>
      <c r="AY20" s="279">
        <f t="shared" si="0"/>
        <v>0</v>
      </c>
      <c r="AZ20" s="232">
        <f t="shared" si="4"/>
        <v>0</v>
      </c>
      <c r="BA20" s="232"/>
    </row>
    <row r="21" spans="1:54" ht="10.5" customHeight="1" x14ac:dyDescent="0.2">
      <c r="A21" s="246"/>
      <c r="B21" s="246"/>
      <c r="C21" s="246"/>
      <c r="D21" s="246"/>
      <c r="E21" s="238"/>
      <c r="F21" s="617" t="s">
        <v>562</v>
      </c>
      <c r="G21" s="257" t="s">
        <v>561</v>
      </c>
      <c r="H21" s="258"/>
      <c r="I21" s="487" t="e">
        <f>T9</f>
        <v>#DIV/0!</v>
      </c>
      <c r="J21" s="259"/>
      <c r="K21" s="260"/>
      <c r="L21" s="263"/>
      <c r="M21" s="263"/>
      <c r="N21" s="263"/>
      <c r="O21" s="263"/>
      <c r="P21" s="238"/>
      <c r="Q21" s="557" t="s">
        <v>285</v>
      </c>
      <c r="R21" s="621" t="s">
        <v>243</v>
      </c>
      <c r="S21" s="622"/>
      <c r="T21" s="355"/>
      <c r="U21" s="625" t="s">
        <v>281</v>
      </c>
      <c r="V21" s="625"/>
      <c r="W21" s="626"/>
      <c r="Y21" s="246"/>
      <c r="Z21" s="246"/>
      <c r="AA21" s="246"/>
      <c r="AB21" s="246"/>
      <c r="AC21" s="246"/>
      <c r="AD21" s="246"/>
      <c r="AE21" s="246"/>
      <c r="AF21" s="246"/>
      <c r="AG21" s="246"/>
      <c r="AH21" s="246"/>
      <c r="AI21" s="246"/>
      <c r="AJ21" s="246"/>
      <c r="AK21" s="246"/>
      <c r="AL21" s="246"/>
      <c r="AM21" s="246"/>
      <c r="AN21" s="246"/>
      <c r="AO21" s="246"/>
      <c r="AP21" s="246"/>
      <c r="AQ21" s="246"/>
      <c r="AS21" s="232" t="str">
        <f>IF(AS20&lt;$D$14,AS20+1,"")</f>
        <v/>
      </c>
      <c r="AT21" s="278">
        <f>IF(ISNUMBER(AS21),AW20,0)</f>
        <v>0</v>
      </c>
      <c r="AU21" s="278"/>
      <c r="AV21" s="278">
        <f t="shared" si="2"/>
        <v>0</v>
      </c>
      <c r="AW21" s="278">
        <f t="shared" si="6"/>
        <v>0</v>
      </c>
      <c r="AX21" s="232">
        <f t="shared" si="7"/>
        <v>0</v>
      </c>
      <c r="AY21" s="279">
        <f t="shared" si="0"/>
        <v>0</v>
      </c>
      <c r="AZ21" s="232">
        <f t="shared" si="4"/>
        <v>0</v>
      </c>
      <c r="BA21" s="232"/>
    </row>
    <row r="22" spans="1:54" ht="12" customHeight="1" thickBot="1" x14ac:dyDescent="0.25">
      <c r="A22" s="246"/>
      <c r="B22" s="246"/>
      <c r="C22" s="246"/>
      <c r="D22" s="246"/>
      <c r="E22" s="238"/>
      <c r="F22" s="618"/>
      <c r="G22" s="261" t="s">
        <v>560</v>
      </c>
      <c r="H22" s="262"/>
      <c r="I22" s="488" t="e">
        <f>T10</f>
        <v>#DIV/0!</v>
      </c>
      <c r="J22" s="263"/>
      <c r="K22" s="264"/>
      <c r="L22" s="263"/>
      <c r="M22" s="263"/>
      <c r="N22" s="263"/>
      <c r="O22" s="263"/>
      <c r="P22" s="238"/>
      <c r="Q22" s="619"/>
      <c r="R22" s="623"/>
      <c r="S22" s="624"/>
      <c r="T22" s="356"/>
      <c r="U22" s="627"/>
      <c r="V22" s="627"/>
      <c r="W22" s="628"/>
      <c r="Y22" s="246"/>
      <c r="Z22" s="246"/>
      <c r="AA22" s="246"/>
      <c r="AB22" s="246"/>
      <c r="AC22" s="246"/>
      <c r="AD22" s="246"/>
      <c r="AE22" s="246"/>
      <c r="AF22" s="246"/>
      <c r="AG22" s="246"/>
      <c r="AH22" s="246"/>
      <c r="AI22" s="246"/>
      <c r="AJ22" s="246"/>
      <c r="AK22" s="246"/>
      <c r="AL22" s="246"/>
      <c r="AM22" s="246"/>
      <c r="AN22" s="246"/>
      <c r="AO22" s="246"/>
      <c r="AP22" s="246"/>
      <c r="AQ22" s="246"/>
      <c r="AS22" s="232" t="str">
        <f t="shared" si="1"/>
        <v/>
      </c>
      <c r="AT22" s="278">
        <f t="shared" si="5"/>
        <v>0</v>
      </c>
      <c r="AU22" s="278"/>
      <c r="AV22" s="278">
        <f t="shared" si="2"/>
        <v>0</v>
      </c>
      <c r="AW22" s="278">
        <f t="shared" si="6"/>
        <v>0</v>
      </c>
      <c r="AX22" s="232">
        <f t="shared" si="7"/>
        <v>0</v>
      </c>
      <c r="AY22" s="279">
        <f t="shared" si="0"/>
        <v>0</v>
      </c>
      <c r="AZ22" s="232">
        <f t="shared" si="4"/>
        <v>0</v>
      </c>
      <c r="BA22" s="232"/>
    </row>
    <row r="23" spans="1:54" ht="10.75" customHeight="1" x14ac:dyDescent="0.2">
      <c r="A23" s="246"/>
      <c r="B23" s="565" t="s">
        <v>410</v>
      </c>
      <c r="C23" s="637"/>
      <c r="D23" s="637"/>
      <c r="E23" s="637"/>
      <c r="F23" s="618"/>
      <c r="G23" s="261" t="s">
        <v>390</v>
      </c>
      <c r="H23" s="262"/>
      <c r="I23" s="488" t="e">
        <f>T12</f>
        <v>#DIV/0!</v>
      </c>
      <c r="J23" s="263"/>
      <c r="K23" s="264"/>
      <c r="L23" s="263"/>
      <c r="M23" s="263"/>
      <c r="N23" s="263"/>
      <c r="O23" s="263"/>
      <c r="P23" s="238"/>
      <c r="Q23" s="619"/>
      <c r="R23" s="347" t="s">
        <v>566</v>
      </c>
      <c r="S23" s="494" t="e">
        <f>(R37/S37)*T5</f>
        <v>#DIV/0!</v>
      </c>
      <c r="T23" s="495"/>
      <c r="U23" s="496"/>
      <c r="V23" s="496"/>
      <c r="W23" s="497"/>
      <c r="Y23" s="246"/>
      <c r="Z23" s="246"/>
      <c r="AA23" s="246"/>
      <c r="AB23" s="246"/>
      <c r="AC23" s="246"/>
      <c r="AD23" s="246"/>
      <c r="AE23" s="246"/>
      <c r="AF23" s="246"/>
      <c r="AG23" s="246"/>
      <c r="AH23" s="246"/>
      <c r="AI23" s="246"/>
      <c r="AJ23" s="246"/>
      <c r="AK23" s="246"/>
      <c r="AL23" s="246"/>
      <c r="AM23" s="246"/>
      <c r="AN23" s="246"/>
      <c r="AO23" s="246"/>
      <c r="AP23" s="246"/>
      <c r="AQ23" s="246"/>
      <c r="AS23" s="232" t="str">
        <f t="shared" si="1"/>
        <v/>
      </c>
      <c r="AT23" s="278">
        <f t="shared" si="5"/>
        <v>0</v>
      </c>
      <c r="AU23" s="278"/>
      <c r="AV23" s="278">
        <f t="shared" si="2"/>
        <v>0</v>
      </c>
      <c r="AW23" s="278">
        <f t="shared" si="6"/>
        <v>0</v>
      </c>
      <c r="AX23" s="232">
        <f t="shared" si="7"/>
        <v>0</v>
      </c>
      <c r="AY23" s="279">
        <f t="shared" si="0"/>
        <v>0</v>
      </c>
      <c r="AZ23" s="232">
        <f t="shared" si="4"/>
        <v>0</v>
      </c>
      <c r="BA23" s="232"/>
    </row>
    <row r="24" spans="1:54" ht="12.75" customHeight="1" x14ac:dyDescent="0.2">
      <c r="A24" s="246"/>
      <c r="B24" s="638"/>
      <c r="C24" s="639"/>
      <c r="D24" s="639"/>
      <c r="E24" s="639"/>
      <c r="F24" s="618"/>
      <c r="G24" s="261" t="s">
        <v>542</v>
      </c>
      <c r="H24" s="262"/>
      <c r="I24" s="488" t="e">
        <f>V14</f>
        <v>#DIV/0!</v>
      </c>
      <c r="J24" s="263"/>
      <c r="K24" s="264"/>
      <c r="L24" s="263"/>
      <c r="M24" s="263"/>
      <c r="N24" s="263"/>
      <c r="O24" s="263"/>
      <c r="P24" s="238"/>
      <c r="Q24" s="619"/>
      <c r="R24" s="347" t="s">
        <v>570</v>
      </c>
      <c r="S24" s="494" t="e">
        <f>T9*$R$37</f>
        <v>#DIV/0!</v>
      </c>
      <c r="T24" s="495"/>
      <c r="U24" s="496" t="s">
        <v>570</v>
      </c>
      <c r="V24" s="496"/>
      <c r="W24" s="497" t="e">
        <f>S24/S$23</f>
        <v>#DIV/0!</v>
      </c>
      <c r="Y24" s="246"/>
      <c r="Z24" s="246"/>
      <c r="AA24" s="246"/>
      <c r="AB24" s="246"/>
      <c r="AC24" s="246"/>
      <c r="AD24" s="246"/>
      <c r="AE24" s="246"/>
      <c r="AF24" s="246"/>
      <c r="AG24" s="246"/>
      <c r="AH24" s="246"/>
      <c r="AI24" s="246"/>
      <c r="AJ24" s="246"/>
      <c r="AK24" s="246"/>
      <c r="AL24" s="246"/>
      <c r="AM24" s="246"/>
      <c r="AN24" s="246"/>
      <c r="AO24" s="246"/>
      <c r="AP24" s="246"/>
      <c r="AQ24" s="246"/>
      <c r="AS24" s="232" t="str">
        <f t="shared" si="1"/>
        <v/>
      </c>
      <c r="AT24" s="278">
        <f t="shared" si="5"/>
        <v>0</v>
      </c>
      <c r="AU24" s="278"/>
      <c r="AV24" s="278">
        <f t="shared" si="2"/>
        <v>0</v>
      </c>
      <c r="AW24" s="278">
        <f t="shared" si="6"/>
        <v>0</v>
      </c>
      <c r="AX24" s="232">
        <f>IF(ISNUMBER(AS25),SUM(AU24:AV24),SUM(AU24:AW24))</f>
        <v>0</v>
      </c>
      <c r="AY24" s="279">
        <f t="shared" si="0"/>
        <v>0</v>
      </c>
      <c r="AZ24" s="232">
        <f t="shared" si="4"/>
        <v>0</v>
      </c>
      <c r="BA24" s="232"/>
    </row>
    <row r="25" spans="1:54" ht="14.5" customHeight="1" thickBot="1" x14ac:dyDescent="0.25">
      <c r="A25" s="246"/>
      <c r="B25" s="638"/>
      <c r="C25" s="639"/>
      <c r="D25" s="639"/>
      <c r="E25" s="639"/>
      <c r="F25" s="265" t="s">
        <v>574</v>
      </c>
      <c r="G25" s="266"/>
      <c r="H25" s="266"/>
      <c r="I25" s="267" t="e">
        <f>V14*J37</f>
        <v>#DIV/0!</v>
      </c>
      <c r="J25" s="263"/>
      <c r="K25" s="264"/>
      <c r="L25" s="263"/>
      <c r="M25" s="263"/>
      <c r="N25" s="263"/>
      <c r="O25" s="263"/>
      <c r="P25" s="238"/>
      <c r="Q25" s="620"/>
      <c r="R25" s="347" t="s">
        <v>560</v>
      </c>
      <c r="S25" s="494" t="e">
        <f>T10*$R$37</f>
        <v>#DIV/0!</v>
      </c>
      <c r="T25" s="495"/>
      <c r="U25" s="496" t="s">
        <v>560</v>
      </c>
      <c r="V25" s="496"/>
      <c r="W25" s="497" t="e">
        <f>S25/S$23</f>
        <v>#DIV/0!</v>
      </c>
      <c r="Y25" s="246"/>
      <c r="Z25" s="246"/>
      <c r="AA25" s="246"/>
      <c r="AB25" s="246"/>
      <c r="AC25" s="246"/>
      <c r="AD25" s="246"/>
      <c r="AE25" s="246"/>
      <c r="AF25" s="246"/>
      <c r="AG25" s="246"/>
      <c r="AH25" s="246"/>
      <c r="AI25" s="246"/>
      <c r="AJ25" s="246"/>
      <c r="AK25" s="246"/>
      <c r="AL25" s="246"/>
      <c r="AM25" s="246"/>
      <c r="AN25" s="246"/>
      <c r="AO25" s="246"/>
      <c r="AP25" s="246"/>
      <c r="AQ25" s="246"/>
      <c r="AS25" s="232" t="str">
        <f>IF(AS24&lt;$D$14,AS24+1,"")</f>
        <v/>
      </c>
      <c r="AT25" s="278">
        <f>IF(ISNUMBER(AS25),AW24,0)</f>
        <v>0</v>
      </c>
      <c r="AU25" s="278"/>
      <c r="AV25" s="278">
        <f t="shared" si="2"/>
        <v>0</v>
      </c>
      <c r="AW25" s="278">
        <f t="shared" si="6"/>
        <v>0</v>
      </c>
      <c r="AX25" s="232">
        <f t="shared" si="7"/>
        <v>0</v>
      </c>
      <c r="AY25" s="279">
        <f t="shared" si="0"/>
        <v>0</v>
      </c>
      <c r="AZ25" s="232">
        <f t="shared" si="4"/>
        <v>0</v>
      </c>
      <c r="BA25" s="232"/>
    </row>
    <row r="26" spans="1:54" ht="12" customHeight="1" thickBot="1" x14ac:dyDescent="0.25">
      <c r="A26" s="246"/>
      <c r="B26" s="567"/>
      <c r="C26" s="640"/>
      <c r="D26" s="640"/>
      <c r="E26" s="640"/>
      <c r="F26" s="247"/>
      <c r="G26" s="238"/>
      <c r="H26" s="238"/>
      <c r="I26" s="238"/>
      <c r="J26" s="238"/>
      <c r="K26" s="244"/>
      <c r="L26" s="238"/>
      <c r="M26" s="238"/>
      <c r="N26" s="238"/>
      <c r="O26" s="263"/>
      <c r="P26" s="238"/>
      <c r="Q26" s="238"/>
      <c r="R26" s="347" t="s">
        <v>390</v>
      </c>
      <c r="S26" s="494" t="e">
        <f>T12*$R$37</f>
        <v>#DIV/0!</v>
      </c>
      <c r="T26" s="495"/>
      <c r="U26" s="496" t="s">
        <v>390</v>
      </c>
      <c r="V26" s="496"/>
      <c r="W26" s="497" t="e">
        <f>S26/S$23</f>
        <v>#DIV/0!</v>
      </c>
      <c r="Y26" s="246"/>
      <c r="Z26" s="246"/>
      <c r="AA26" s="246"/>
      <c r="AB26" s="246"/>
      <c r="AC26" s="246"/>
      <c r="AD26" s="246"/>
      <c r="AE26" s="246"/>
      <c r="AF26" s="246"/>
      <c r="AG26" s="246"/>
      <c r="AH26" s="246"/>
      <c r="AI26" s="246"/>
      <c r="AJ26" s="246"/>
      <c r="AK26" s="246"/>
      <c r="AL26" s="246"/>
      <c r="AM26" s="246"/>
      <c r="AN26" s="246"/>
      <c r="AO26" s="246"/>
      <c r="AP26" s="246"/>
      <c r="AQ26" s="246"/>
      <c r="AS26" s="232" t="str">
        <f t="shared" si="1"/>
        <v/>
      </c>
      <c r="AT26" s="278">
        <f t="shared" si="5"/>
        <v>0</v>
      </c>
      <c r="AU26" s="278"/>
      <c r="AV26" s="278">
        <f t="shared" si="2"/>
        <v>0</v>
      </c>
      <c r="AW26" s="278">
        <f t="shared" si="6"/>
        <v>0</v>
      </c>
      <c r="AX26" s="232">
        <f t="shared" si="7"/>
        <v>0</v>
      </c>
      <c r="AY26" s="279">
        <f t="shared" si="0"/>
        <v>0</v>
      </c>
      <c r="AZ26" s="232">
        <f t="shared" si="4"/>
        <v>0</v>
      </c>
      <c r="BA26" s="232"/>
    </row>
    <row r="27" spans="1:54" ht="12.75" customHeight="1" x14ac:dyDescent="0.2">
      <c r="A27" s="246"/>
      <c r="B27" s="246"/>
      <c r="C27" s="246"/>
      <c r="D27" s="246"/>
      <c r="E27" s="238"/>
      <c r="F27" s="268" t="s">
        <v>282</v>
      </c>
      <c r="G27" s="489" t="e">
        <f>I21/I$24</f>
        <v>#DIV/0!</v>
      </c>
      <c r="H27" s="269" t="s">
        <v>568</v>
      </c>
      <c r="I27" s="266"/>
      <c r="J27" s="266"/>
      <c r="K27" s="270"/>
      <c r="L27" s="238"/>
      <c r="M27" s="238"/>
      <c r="N27" s="238"/>
      <c r="O27" s="263"/>
      <c r="P27" s="238"/>
      <c r="R27" s="347" t="s">
        <v>542</v>
      </c>
      <c r="S27" s="494" t="e">
        <f>V14*$R$37</f>
        <v>#DIV/0!</v>
      </c>
      <c r="T27" s="495"/>
      <c r="U27" s="496" t="s">
        <v>542</v>
      </c>
      <c r="V27" s="496"/>
      <c r="W27" s="497" t="e">
        <f>S27/S$23</f>
        <v>#DIV/0!</v>
      </c>
      <c r="Y27" s="246"/>
      <c r="Z27" s="246"/>
      <c r="AA27" s="246"/>
      <c r="AB27" s="246"/>
      <c r="AC27" s="246"/>
      <c r="AD27" s="246"/>
      <c r="AE27" s="246"/>
      <c r="AF27" s="246"/>
      <c r="AG27" s="246"/>
      <c r="AH27" s="246"/>
      <c r="AI27" s="246"/>
      <c r="AJ27" s="246"/>
      <c r="AK27" s="246"/>
      <c r="AL27" s="246"/>
      <c r="AM27" s="246"/>
      <c r="AN27" s="246"/>
      <c r="AO27" s="246"/>
      <c r="AP27" s="246"/>
      <c r="AQ27" s="246"/>
      <c r="AS27" s="232" t="str">
        <f t="shared" si="1"/>
        <v/>
      </c>
      <c r="AT27" s="278">
        <f t="shared" si="5"/>
        <v>0</v>
      </c>
      <c r="AU27" s="278"/>
      <c r="AV27" s="278">
        <f t="shared" si="2"/>
        <v>0</v>
      </c>
      <c r="AW27" s="278">
        <f t="shared" si="6"/>
        <v>0</v>
      </c>
      <c r="AX27" s="232">
        <f t="shared" si="7"/>
        <v>0</v>
      </c>
      <c r="AY27" s="279">
        <f t="shared" si="0"/>
        <v>0</v>
      </c>
      <c r="AZ27" s="232">
        <f t="shared" si="4"/>
        <v>0</v>
      </c>
      <c r="BA27" s="288"/>
      <c r="BB27" s="246"/>
    </row>
    <row r="28" spans="1:54" s="246" customFormat="1" ht="14.5" customHeight="1" x14ac:dyDescent="0.2">
      <c r="E28" s="238"/>
      <c r="F28" s="268" t="s">
        <v>569</v>
      </c>
      <c r="G28" s="489" t="e">
        <f>I22/I$24</f>
        <v>#DIV/0!</v>
      </c>
      <c r="H28" s="269" t="s">
        <v>568</v>
      </c>
      <c r="I28" s="266"/>
      <c r="J28" s="266"/>
      <c r="K28" s="270"/>
      <c r="L28" s="238"/>
      <c r="M28" s="238"/>
      <c r="N28" s="238"/>
      <c r="O28" s="263"/>
      <c r="P28" s="238"/>
      <c r="R28" s="345" t="s">
        <v>247</v>
      </c>
      <c r="S28" s="498"/>
      <c r="T28" s="495"/>
      <c r="U28" s="495"/>
      <c r="V28" s="495"/>
      <c r="W28" s="499" t="s">
        <v>280</v>
      </c>
      <c r="AS28" s="232" t="str">
        <f t="shared" si="1"/>
        <v/>
      </c>
      <c r="AT28" s="278">
        <f t="shared" si="5"/>
        <v>0</v>
      </c>
      <c r="AU28" s="278"/>
      <c r="AV28" s="278">
        <f t="shared" si="2"/>
        <v>0</v>
      </c>
      <c r="AW28" s="278">
        <f t="shared" si="6"/>
        <v>0</v>
      </c>
      <c r="AX28" s="232">
        <f>IF(ISNUMBER(AS29),SUM(AU28:AV28),SUM(AU28:AW28))</f>
        <v>0</v>
      </c>
      <c r="AY28" s="279">
        <f t="shared" si="0"/>
        <v>0</v>
      </c>
      <c r="AZ28" s="232">
        <f t="shared" si="4"/>
        <v>0</v>
      </c>
      <c r="BA28" s="232"/>
      <c r="BB28" s="233"/>
    </row>
    <row r="29" spans="1:54" ht="13.75" customHeight="1" x14ac:dyDescent="0.2">
      <c r="A29" s="246"/>
      <c r="B29" s="246"/>
      <c r="C29" s="246"/>
      <c r="D29" s="246"/>
      <c r="E29" s="238"/>
      <c r="F29" s="268" t="s">
        <v>407</v>
      </c>
      <c r="G29" s="489" t="e">
        <f>I23/I$24</f>
        <v>#DIV/0!</v>
      </c>
      <c r="H29" s="269" t="s">
        <v>568</v>
      </c>
      <c r="I29" s="266"/>
      <c r="J29" s="266"/>
      <c r="K29" s="270"/>
      <c r="L29" s="238"/>
      <c r="M29" s="238"/>
      <c r="N29" s="238"/>
      <c r="O29" s="263"/>
      <c r="P29" s="238"/>
      <c r="Q29" s="344"/>
      <c r="R29" s="346" t="s">
        <v>570</v>
      </c>
      <c r="S29" s="494" t="str">
        <f>IFERROR(IF(S24-S$23&gt;0,S24-S$23,"N/A"),"N/A")</f>
        <v>N/A</v>
      </c>
      <c r="T29" s="500"/>
      <c r="U29" s="496"/>
      <c r="V29" s="496"/>
      <c r="W29" s="501" t="str">
        <f>IF(AND(S29&lt;&gt;"N/A",S29&gt;=$W$33),R29,"Bednets")</f>
        <v>Bednets</v>
      </c>
      <c r="Y29" s="246"/>
      <c r="Z29" s="246"/>
      <c r="AA29" s="246"/>
      <c r="AB29" s="246"/>
      <c r="AC29" s="246"/>
      <c r="AD29" s="246"/>
      <c r="AE29" s="246"/>
      <c r="AF29" s="246"/>
      <c r="AG29" s="246"/>
      <c r="AH29" s="246"/>
      <c r="AI29" s="246"/>
      <c r="AJ29" s="246"/>
      <c r="AK29" s="246"/>
      <c r="AL29" s="246"/>
      <c r="AM29" s="246"/>
      <c r="AN29" s="246"/>
      <c r="AO29" s="246"/>
      <c r="AP29" s="246"/>
      <c r="AQ29" s="246"/>
      <c r="AS29" s="232" t="str">
        <f>IF(AS28&lt;$D$14,AS28+1,"")</f>
        <v/>
      </c>
      <c r="AT29" s="278">
        <f>IF(ISNUMBER(AS29),AW28,0)</f>
        <v>0</v>
      </c>
      <c r="AU29" s="278"/>
      <c r="AV29" s="278">
        <f t="shared" si="2"/>
        <v>0</v>
      </c>
      <c r="AW29" s="278">
        <f t="shared" si="6"/>
        <v>0</v>
      </c>
      <c r="AX29" s="232">
        <f t="shared" si="7"/>
        <v>0</v>
      </c>
      <c r="AY29" s="279">
        <f t="shared" si="0"/>
        <v>0</v>
      </c>
      <c r="AZ29" s="232">
        <f t="shared" si="4"/>
        <v>0</v>
      </c>
      <c r="BA29" s="232"/>
    </row>
    <row r="30" spans="1:54" ht="13.5" customHeight="1" x14ac:dyDescent="0.2">
      <c r="A30" s="246"/>
      <c r="B30" s="246"/>
      <c r="C30" s="246"/>
      <c r="D30" s="246"/>
      <c r="E30" s="238"/>
      <c r="F30" s="247"/>
      <c r="G30" s="238"/>
      <c r="H30" s="238"/>
      <c r="I30" s="238"/>
      <c r="J30" s="263"/>
      <c r="K30" s="264"/>
      <c r="L30" s="238"/>
      <c r="M30" s="238"/>
      <c r="N30" s="238"/>
      <c r="O30" s="263"/>
      <c r="P30" s="238"/>
      <c r="Q30" s="344"/>
      <c r="R30" s="346" t="s">
        <v>560</v>
      </c>
      <c r="S30" s="494" t="str">
        <f>IFERROR(IF(S25-S$23&gt;0,S25-S$23,"N/A"),"N/A")</f>
        <v>N/A</v>
      </c>
      <c r="T30" s="500"/>
      <c r="U30" s="496"/>
      <c r="V30" s="496"/>
      <c r="W30" s="501" t="str">
        <f>IF(AND(S30&lt;&gt;"N/A",S30&gt;=$W$33),R30,"Bednets")</f>
        <v>Bednets</v>
      </c>
      <c r="Y30" s="246"/>
      <c r="Z30" s="246"/>
      <c r="AA30" s="246"/>
      <c r="AB30" s="246"/>
      <c r="AC30" s="246"/>
      <c r="AD30" s="246"/>
      <c r="AE30" s="246"/>
      <c r="AF30" s="246"/>
      <c r="AG30" s="246"/>
      <c r="AH30" s="246"/>
      <c r="AI30" s="246"/>
      <c r="AJ30" s="246"/>
      <c r="AK30" s="246"/>
      <c r="AL30" s="246"/>
      <c r="AM30" s="246"/>
      <c r="AN30" s="246"/>
      <c r="AO30" s="246"/>
      <c r="AP30" s="246"/>
      <c r="AQ30" s="246"/>
      <c r="AS30" s="232" t="str">
        <f t="shared" si="1"/>
        <v/>
      </c>
      <c r="AT30" s="278">
        <f t="shared" si="5"/>
        <v>0</v>
      </c>
      <c r="AU30" s="278"/>
      <c r="AV30" s="278">
        <f t="shared" si="2"/>
        <v>0</v>
      </c>
      <c r="AW30" s="278">
        <f t="shared" si="6"/>
        <v>0</v>
      </c>
      <c r="AX30" s="232">
        <f>IF(ISNUMBER(AS33),SUM(AU30:AV30),SUM(AU30:AW30))</f>
        <v>0</v>
      </c>
      <c r="AY30" s="279">
        <f t="shared" si="0"/>
        <v>0</v>
      </c>
      <c r="AZ30" s="232">
        <f t="shared" si="4"/>
        <v>0</v>
      </c>
      <c r="BA30" s="232"/>
    </row>
    <row r="31" spans="1:54" ht="13.5" customHeight="1" x14ac:dyDescent="0.2">
      <c r="A31" s="246"/>
      <c r="B31" s="246"/>
      <c r="C31" s="246"/>
      <c r="D31" s="246"/>
      <c r="E31" s="238"/>
      <c r="F31" s="618" t="s">
        <v>446</v>
      </c>
      <c r="G31" s="261" t="s">
        <v>570</v>
      </c>
      <c r="H31" s="262"/>
      <c r="I31" s="431" t="e">
        <f>V9</f>
        <v>#DIV/0!</v>
      </c>
      <c r="J31" s="263"/>
      <c r="K31" s="264"/>
      <c r="L31" s="238"/>
      <c r="M31" s="238"/>
      <c r="N31" s="238"/>
      <c r="O31" s="263"/>
      <c r="P31" s="238"/>
      <c r="Q31" s="286"/>
      <c r="R31" s="346" t="s">
        <v>390</v>
      </c>
      <c r="S31" s="494" t="str">
        <f>IFERROR(IF(S26-S$23&gt;0,S26-S$23,"N/A"),"N/A")</f>
        <v>N/A</v>
      </c>
      <c r="T31" s="500"/>
      <c r="U31" s="496"/>
      <c r="V31" s="496"/>
      <c r="W31" s="501" t="str">
        <f>IF(AND(S31&lt;&gt;"N/A",S31&gt;=$W$33),R31,"Bednets")</f>
        <v>Bednets</v>
      </c>
      <c r="Y31" s="246"/>
      <c r="Z31" s="246"/>
      <c r="AA31" s="246"/>
      <c r="AB31" s="246"/>
      <c r="AC31" s="246"/>
      <c r="AD31" s="246"/>
      <c r="AE31" s="246"/>
      <c r="AF31" s="246"/>
      <c r="AG31" s="246"/>
      <c r="AH31" s="246"/>
      <c r="AI31" s="246"/>
      <c r="AJ31" s="246"/>
      <c r="AK31" s="246"/>
      <c r="AL31" s="246"/>
      <c r="AM31" s="246"/>
      <c r="AN31" s="246"/>
      <c r="AO31" s="246"/>
      <c r="AP31" s="246"/>
      <c r="AQ31" s="246"/>
      <c r="AS31" s="232"/>
      <c r="AT31" s="278"/>
      <c r="AU31" s="278"/>
      <c r="AV31" s="278"/>
      <c r="AW31" s="278"/>
      <c r="AX31" s="232"/>
      <c r="AY31" s="279"/>
      <c r="AZ31" s="232"/>
      <c r="BA31" s="232"/>
    </row>
    <row r="32" spans="1:54" ht="13.5" customHeight="1" x14ac:dyDescent="0.2">
      <c r="A32" s="246"/>
      <c r="B32" s="246"/>
      <c r="C32" s="246"/>
      <c r="D32" s="246"/>
      <c r="E32" s="238"/>
      <c r="F32" s="618"/>
      <c r="G32" s="261" t="s">
        <v>560</v>
      </c>
      <c r="H32" s="262"/>
      <c r="I32" s="431" t="e">
        <f>V10</f>
        <v>#DIV/0!</v>
      </c>
      <c r="J32" s="263"/>
      <c r="K32" s="264"/>
      <c r="L32" s="263"/>
      <c r="M32" s="263"/>
      <c r="N32" s="263"/>
      <c r="O32" s="263"/>
      <c r="P32" s="238"/>
      <c r="Q32" s="286"/>
      <c r="R32" s="352"/>
      <c r="S32" s="353"/>
      <c r="T32" s="353"/>
      <c r="U32" s="353"/>
      <c r="V32" s="353"/>
      <c r="W32" s="354"/>
      <c r="Y32" s="246"/>
      <c r="Z32" s="246"/>
      <c r="AA32" s="246"/>
      <c r="AB32" s="246"/>
      <c r="AC32" s="246"/>
      <c r="AD32" s="246"/>
      <c r="AE32" s="246"/>
      <c r="AF32" s="246"/>
      <c r="AG32" s="246"/>
      <c r="AH32" s="246"/>
      <c r="AI32" s="246"/>
      <c r="AJ32" s="246"/>
      <c r="AK32" s="246"/>
      <c r="AL32" s="246"/>
      <c r="AM32" s="246"/>
      <c r="AN32" s="246"/>
      <c r="AO32" s="246"/>
      <c r="AP32" s="246"/>
      <c r="AQ32" s="246"/>
      <c r="AS32" s="232"/>
      <c r="AT32" s="278"/>
      <c r="AU32" s="278"/>
      <c r="AV32" s="278"/>
      <c r="AW32" s="278"/>
      <c r="AX32" s="232"/>
      <c r="AY32" s="279"/>
      <c r="AZ32" s="232"/>
      <c r="BA32" s="232"/>
    </row>
    <row r="33" spans="1:53" ht="13.75" customHeight="1" thickBot="1" x14ac:dyDescent="0.25">
      <c r="A33" s="246"/>
      <c r="B33" s="246"/>
      <c r="C33" s="246"/>
      <c r="D33" s="246"/>
      <c r="E33" s="246"/>
      <c r="F33" s="618"/>
      <c r="G33" s="261" t="s">
        <v>566</v>
      </c>
      <c r="H33" s="262"/>
      <c r="I33" s="431" t="e">
        <f>V11</f>
        <v>#DIV/0!</v>
      </c>
      <c r="J33" s="238"/>
      <c r="K33" s="244"/>
      <c r="L33" s="238"/>
      <c r="M33" s="238"/>
      <c r="N33" s="238"/>
      <c r="O33" s="238"/>
      <c r="P33" s="246"/>
      <c r="Q33" s="286"/>
      <c r="R33" s="642" t="s">
        <v>248</v>
      </c>
      <c r="S33" s="643"/>
      <c r="T33" s="643"/>
      <c r="U33" s="643"/>
      <c r="V33" s="643"/>
      <c r="W33" s="502">
        <f>$G$10*U37</f>
        <v>0</v>
      </c>
      <c r="X33" s="286"/>
      <c r="Y33" s="286"/>
      <c r="Z33" s="246"/>
      <c r="AA33" s="246"/>
      <c r="AB33" s="246"/>
      <c r="AC33" s="246"/>
      <c r="AD33" s="246"/>
      <c r="AE33" s="246"/>
      <c r="AF33" s="246"/>
      <c r="AG33" s="246"/>
      <c r="AH33" s="246"/>
      <c r="AI33" s="246"/>
      <c r="AJ33" s="246"/>
      <c r="AK33" s="246"/>
      <c r="AL33" s="246"/>
      <c r="AM33" s="246"/>
      <c r="AN33" s="246"/>
      <c r="AO33" s="246"/>
      <c r="AP33" s="246"/>
      <c r="AQ33" s="246"/>
      <c r="AS33" s="232" t="str">
        <f>IF(AS30&lt;$D$14,AS30+1,"")</f>
        <v/>
      </c>
      <c r="AT33" s="278">
        <f>IF(ISNUMBER(AS33),AW30,0)</f>
        <v>0</v>
      </c>
      <c r="AU33" s="278"/>
      <c r="AV33" s="278">
        <f t="shared" si="2"/>
        <v>0</v>
      </c>
      <c r="AW33" s="278">
        <f t="shared" si="6"/>
        <v>0</v>
      </c>
      <c r="AX33" s="232">
        <f>IF(ISNUMBER(AS35),SUM(AU33:AV33),SUM(AU33:AW33))</f>
        <v>0</v>
      </c>
      <c r="AY33" s="279">
        <f>LN(AX33+$J$37)-LN($J$37)</f>
        <v>0</v>
      </c>
      <c r="AZ33" s="232">
        <f t="shared" si="4"/>
        <v>0</v>
      </c>
    </row>
    <row r="34" spans="1:53" ht="13.75" customHeight="1" thickBot="1" x14ac:dyDescent="0.25">
      <c r="A34" s="246"/>
      <c r="B34" s="246"/>
      <c r="C34" s="246"/>
      <c r="D34" s="246"/>
      <c r="E34" s="246"/>
      <c r="F34" s="641"/>
      <c r="G34" s="289" t="s">
        <v>390</v>
      </c>
      <c r="H34" s="290"/>
      <c r="I34" s="432" t="str">
        <f>V12</f>
        <v>-</v>
      </c>
      <c r="J34" s="239"/>
      <c r="K34" s="325"/>
      <c r="L34" s="238"/>
      <c r="M34" s="238"/>
      <c r="N34" s="238"/>
      <c r="O34" s="238"/>
      <c r="P34" s="246"/>
      <c r="Q34" s="286"/>
      <c r="R34" s="378"/>
      <c r="S34" s="378"/>
      <c r="T34" s="378"/>
      <c r="U34" s="378"/>
      <c r="V34" s="378"/>
      <c r="W34" s="287"/>
      <c r="X34" s="287"/>
      <c r="Y34" s="286"/>
      <c r="Z34" s="246"/>
      <c r="AA34" s="246"/>
      <c r="AB34" s="246"/>
      <c r="AC34" s="246"/>
      <c r="AD34" s="246"/>
      <c r="AE34" s="246"/>
      <c r="AF34" s="246"/>
      <c r="AG34" s="246"/>
      <c r="AH34" s="246"/>
      <c r="AI34" s="246"/>
      <c r="AJ34" s="246"/>
      <c r="AK34" s="246"/>
      <c r="AL34" s="246"/>
      <c r="AM34" s="246"/>
      <c r="AN34" s="246"/>
      <c r="AO34" s="246"/>
      <c r="AP34" s="246"/>
      <c r="AQ34" s="246"/>
      <c r="AS34" s="232"/>
      <c r="AT34" s="278"/>
      <c r="AU34" s="278"/>
      <c r="AV34" s="278"/>
      <c r="AW34" s="278"/>
      <c r="AX34" s="232"/>
      <c r="AY34" s="279"/>
      <c r="AZ34" s="232"/>
    </row>
    <row r="35" spans="1:53" ht="51" customHeight="1" thickBot="1" x14ac:dyDescent="0.25">
      <c r="B35" s="246"/>
      <c r="C35" s="246"/>
      <c r="D35" s="246"/>
      <c r="E35" s="246"/>
      <c r="F35" s="246"/>
      <c r="G35" s="246"/>
      <c r="H35" s="246"/>
      <c r="I35" s="309"/>
      <c r="J35" s="309"/>
      <c r="K35" s="246"/>
      <c r="L35" s="246"/>
      <c r="M35" s="246"/>
      <c r="N35" s="246"/>
      <c r="O35" s="246"/>
      <c r="P35" s="246"/>
      <c r="Q35" s="286"/>
      <c r="R35" s="286"/>
      <c r="S35" s="286"/>
      <c r="T35" s="286"/>
      <c r="U35" s="286"/>
      <c r="W35" s="246"/>
      <c r="Y35" s="286"/>
      <c r="Z35" s="246"/>
      <c r="AA35" s="246"/>
      <c r="AB35" s="246"/>
      <c r="AC35" s="246"/>
      <c r="AD35" s="246"/>
      <c r="AE35" s="246"/>
      <c r="AF35" s="246"/>
      <c r="AG35" s="246"/>
      <c r="AH35" s="246"/>
      <c r="AI35" s="246"/>
      <c r="AJ35" s="246"/>
      <c r="AK35" s="246"/>
      <c r="AL35" s="246"/>
      <c r="AM35" s="246"/>
      <c r="AN35" s="246"/>
      <c r="AR35" s="232"/>
      <c r="AS35" s="232" t="str">
        <f>IF(AS33&lt;$D$14,AS33+1,"")</f>
        <v/>
      </c>
      <c r="AT35" s="278">
        <f>IF(ISNUMBER(AS35),AW33,0)</f>
        <v>0</v>
      </c>
      <c r="AU35" s="278"/>
      <c r="AV35" s="278">
        <f t="shared" si="2"/>
        <v>0</v>
      </c>
      <c r="AW35" s="278">
        <f t="shared" si="6"/>
        <v>0</v>
      </c>
      <c r="AX35" s="232">
        <f t="shared" si="7"/>
        <v>0</v>
      </c>
      <c r="AY35" s="279">
        <f>LN(AX35+$J$37)-LN($J$37)</f>
        <v>0</v>
      </c>
      <c r="AZ35" s="232">
        <f t="shared" si="4"/>
        <v>0</v>
      </c>
    </row>
    <row r="36" spans="1:53" ht="31.5" customHeight="1" x14ac:dyDescent="0.2">
      <c r="A36" s="246"/>
      <c r="B36" s="644" t="s">
        <v>557</v>
      </c>
      <c r="C36" s="248"/>
      <c r="D36" s="647" t="s">
        <v>552</v>
      </c>
      <c r="E36" s="648"/>
      <c r="F36" s="649"/>
      <c r="G36" s="250" t="s">
        <v>544</v>
      </c>
      <c r="H36" s="647" t="s">
        <v>555</v>
      </c>
      <c r="I36" s="649"/>
      <c r="J36" s="647" t="s">
        <v>554</v>
      </c>
      <c r="K36" s="648"/>
      <c r="L36" s="648"/>
      <c r="M36" s="648"/>
      <c r="N36" s="649"/>
      <c r="O36" s="647" t="s">
        <v>545</v>
      </c>
      <c r="P36" s="649"/>
      <c r="Q36" s="341" t="s">
        <v>546</v>
      </c>
      <c r="R36" s="281" t="s">
        <v>441</v>
      </c>
      <c r="S36" s="348" t="s">
        <v>553</v>
      </c>
      <c r="T36" s="349"/>
      <c r="U36" s="281" t="s">
        <v>435</v>
      </c>
      <c r="V36" s="281" t="s">
        <v>401</v>
      </c>
      <c r="W36" s="283" t="s">
        <v>404</v>
      </c>
      <c r="X36" s="212"/>
      <c r="Y36" s="246"/>
      <c r="Z36" s="246"/>
      <c r="AA36" s="246"/>
      <c r="AB36" s="246"/>
      <c r="AC36" s="246"/>
      <c r="AD36" s="246"/>
      <c r="AE36" s="246"/>
      <c r="AF36" s="246"/>
      <c r="AG36" s="246"/>
      <c r="AH36" s="246"/>
      <c r="AI36" s="246"/>
      <c r="AJ36" s="246"/>
      <c r="AK36" s="246"/>
      <c r="AL36" s="246"/>
      <c r="AM36" s="246"/>
      <c r="AN36" s="246"/>
      <c r="AR36" s="232"/>
      <c r="AS36" s="232" t="str">
        <f t="shared" si="1"/>
        <v/>
      </c>
      <c r="AT36" s="278">
        <f t="shared" si="5"/>
        <v>0</v>
      </c>
      <c r="AU36" s="278"/>
      <c r="AV36" s="278">
        <f t="shared" si="2"/>
        <v>0</v>
      </c>
      <c r="AW36" s="278">
        <f t="shared" si="6"/>
        <v>0</v>
      </c>
      <c r="AX36" s="232">
        <f t="shared" si="7"/>
        <v>0</v>
      </c>
      <c r="AY36" s="279">
        <f>LN(AX36+$J$37)-LN($J$37)</f>
        <v>0</v>
      </c>
      <c r="AZ36" s="232">
        <f t="shared" si="4"/>
        <v>0</v>
      </c>
      <c r="BA36" s="232"/>
    </row>
    <row r="37" spans="1:53" ht="12" customHeight="1" x14ac:dyDescent="0.2">
      <c r="A37" s="246"/>
      <c r="B37" s="645"/>
      <c r="C37" s="251" t="s">
        <v>548</v>
      </c>
      <c r="D37" s="650">
        <f>Parameters!$D$29</f>
        <v>0.26900000000000002</v>
      </c>
      <c r="E37" s="651"/>
      <c r="F37" s="652"/>
      <c r="G37" s="255">
        <f>Parameters!$D$30</f>
        <v>2.41</v>
      </c>
      <c r="H37" s="653">
        <f>Parameters!$D$61</f>
        <v>4.7</v>
      </c>
      <c r="I37" s="654"/>
      <c r="J37" s="629">
        <f>Parameters!$D$58</f>
        <v>285.92228810603416</v>
      </c>
      <c r="K37" s="630"/>
      <c r="L37" s="630"/>
      <c r="M37" s="630"/>
      <c r="N37" s="631"/>
      <c r="O37" s="632">
        <f>Parameters!$D$59</f>
        <v>1000</v>
      </c>
      <c r="P37" s="633"/>
      <c r="Q37" s="280">
        <f>Parameters!$D$60</f>
        <v>212.7659574468085</v>
      </c>
      <c r="R37" s="518">
        <f>Parameters!$D$49</f>
        <v>2838.2630576673801</v>
      </c>
      <c r="S37" s="282">
        <f>Parameters!$D$50</f>
        <v>3.6112369528824271</v>
      </c>
      <c r="T37" s="342"/>
      <c r="U37" s="340">
        <f>Parameters!$D$11</f>
        <v>36.525000000000006</v>
      </c>
      <c r="V37" s="328">
        <f>Parameters!$D$45</f>
        <v>15</v>
      </c>
      <c r="W37" s="320">
        <f>Parameters!$D$46</f>
        <v>0.43099999999999999</v>
      </c>
      <c r="X37" s="316"/>
      <c r="Y37" s="246"/>
      <c r="Z37" s="238"/>
      <c r="AA37" s="246"/>
      <c r="AB37" s="246"/>
      <c r="AC37" s="246"/>
      <c r="AD37" s="246"/>
      <c r="AE37" s="246"/>
      <c r="AF37" s="246"/>
      <c r="AG37" s="246"/>
      <c r="AH37" s="246"/>
      <c r="AI37" s="246"/>
      <c r="AJ37" s="246"/>
      <c r="AK37" s="246"/>
      <c r="AL37" s="246"/>
      <c r="AM37" s="246"/>
      <c r="AN37" s="246"/>
      <c r="AO37" s="246"/>
      <c r="AS37" s="232" t="str">
        <f t="shared" si="1"/>
        <v/>
      </c>
      <c r="AT37" s="278">
        <f t="shared" si="5"/>
        <v>0</v>
      </c>
      <c r="AU37" s="278"/>
      <c r="AV37" s="278">
        <f t="shared" si="2"/>
        <v>0</v>
      </c>
      <c r="AW37" s="278">
        <f t="shared" si="6"/>
        <v>0</v>
      </c>
      <c r="AX37" s="232">
        <f t="shared" si="7"/>
        <v>0</v>
      </c>
      <c r="AY37" s="279">
        <f>LN(AX37+$J$37)-LN($J$37)</f>
        <v>0</v>
      </c>
      <c r="AZ37" s="232">
        <f t="shared" si="4"/>
        <v>0</v>
      </c>
      <c r="BA37" s="232"/>
    </row>
    <row r="38" spans="1:53" ht="12" customHeight="1" thickBot="1" x14ac:dyDescent="0.25">
      <c r="A38" s="246"/>
      <c r="B38" s="646"/>
      <c r="C38" s="252" t="s">
        <v>549</v>
      </c>
      <c r="D38" s="634" t="s">
        <v>218</v>
      </c>
      <c r="E38" s="635"/>
      <c r="F38" s="635"/>
      <c r="G38" s="636"/>
      <c r="H38" s="392" t="s">
        <v>551</v>
      </c>
      <c r="I38" s="393"/>
      <c r="J38" s="393"/>
      <c r="K38" s="393"/>
      <c r="L38" s="393"/>
      <c r="M38" s="393"/>
      <c r="N38" s="393"/>
      <c r="O38" s="393"/>
      <c r="P38" s="393"/>
      <c r="Q38" s="394"/>
      <c r="R38" s="634" t="s">
        <v>131</v>
      </c>
      <c r="S38" s="635"/>
      <c r="T38" s="636"/>
      <c r="U38" s="329" t="s">
        <v>253</v>
      </c>
      <c r="V38" s="330" t="s">
        <v>402</v>
      </c>
      <c r="W38" s="521" t="s">
        <v>349</v>
      </c>
      <c r="X38" s="429"/>
      <c r="Y38" s="246"/>
      <c r="Z38" s="238"/>
      <c r="AA38" s="246"/>
      <c r="AB38" s="246"/>
      <c r="AC38" s="246"/>
      <c r="AD38" s="246"/>
      <c r="AE38" s="246"/>
      <c r="AF38" s="246"/>
      <c r="AG38" s="246"/>
      <c r="AH38" s="246"/>
      <c r="AI38" s="246"/>
      <c r="AJ38" s="246"/>
      <c r="AK38" s="246"/>
      <c r="AL38" s="246"/>
      <c r="AM38" s="246"/>
      <c r="AN38" s="246"/>
      <c r="AO38" s="246"/>
      <c r="AP38" s="246"/>
      <c r="AQ38" s="246"/>
      <c r="AS38" s="232" t="str">
        <f t="shared" si="1"/>
        <v/>
      </c>
      <c r="AT38" s="278">
        <f t="shared" si="5"/>
        <v>0</v>
      </c>
      <c r="AU38" s="278"/>
      <c r="AV38" s="278">
        <f t="shared" si="2"/>
        <v>0</v>
      </c>
      <c r="AW38" s="278">
        <f t="shared" si="6"/>
        <v>0</v>
      </c>
      <c r="AX38" s="232">
        <f t="shared" si="7"/>
        <v>0</v>
      </c>
      <c r="AY38" s="279">
        <f>LN(AX38+$J$37)-LN($J$37)</f>
        <v>0</v>
      </c>
      <c r="AZ38" s="232">
        <f t="shared" si="4"/>
        <v>0</v>
      </c>
      <c r="BA38" s="232"/>
    </row>
    <row r="39" spans="1:53" s="246" customFormat="1" ht="15" x14ac:dyDescent="0.2">
      <c r="J39" s="309"/>
      <c r="K39" s="309"/>
      <c r="L39" s="309"/>
      <c r="M39" s="309"/>
      <c r="Z39" s="238"/>
      <c r="AS39" s="288" t="str">
        <f t="shared" si="1"/>
        <v/>
      </c>
      <c r="AT39" s="326">
        <f t="shared" si="5"/>
        <v>0</v>
      </c>
      <c r="AU39" s="326"/>
      <c r="AV39" s="326">
        <f t="shared" si="2"/>
        <v>0</v>
      </c>
      <c r="AW39" s="326">
        <f t="shared" si="6"/>
        <v>0</v>
      </c>
      <c r="AX39" s="288">
        <f t="shared" si="7"/>
        <v>0</v>
      </c>
      <c r="AY39" s="327">
        <f t="shared" ref="AY39:AY102" si="8">LN(AX39+$J$37)-LN($J$37)</f>
        <v>0</v>
      </c>
      <c r="AZ39" s="288">
        <f t="shared" si="4"/>
        <v>0</v>
      </c>
      <c r="BA39" s="288"/>
    </row>
    <row r="40" spans="1:53" s="246" customFormat="1" ht="15" x14ac:dyDescent="0.2">
      <c r="R40" s="309"/>
      <c r="AS40" s="288" t="str">
        <f t="shared" si="1"/>
        <v/>
      </c>
      <c r="AT40" s="326">
        <f t="shared" si="5"/>
        <v>0</v>
      </c>
      <c r="AU40" s="326"/>
      <c r="AV40" s="326">
        <f t="shared" si="2"/>
        <v>0</v>
      </c>
      <c r="AW40" s="326">
        <f t="shared" si="6"/>
        <v>0</v>
      </c>
      <c r="AX40" s="288">
        <f t="shared" si="7"/>
        <v>0</v>
      </c>
      <c r="AY40" s="327">
        <f t="shared" si="8"/>
        <v>0</v>
      </c>
      <c r="AZ40" s="288">
        <f t="shared" si="4"/>
        <v>0</v>
      </c>
      <c r="BA40" s="288"/>
    </row>
    <row r="41" spans="1:53" s="246" customFormat="1" ht="15" x14ac:dyDescent="0.2">
      <c r="R41" s="309"/>
      <c r="AS41" s="288" t="str">
        <f t="shared" si="1"/>
        <v/>
      </c>
      <c r="AT41" s="326">
        <f t="shared" si="5"/>
        <v>0</v>
      </c>
      <c r="AU41" s="326"/>
      <c r="AV41" s="326">
        <f t="shared" si="2"/>
        <v>0</v>
      </c>
      <c r="AW41" s="326">
        <f t="shared" si="6"/>
        <v>0</v>
      </c>
      <c r="AX41" s="288">
        <f t="shared" si="7"/>
        <v>0</v>
      </c>
      <c r="AY41" s="327">
        <f t="shared" si="8"/>
        <v>0</v>
      </c>
      <c r="AZ41" s="288">
        <f t="shared" si="4"/>
        <v>0</v>
      </c>
      <c r="BA41" s="288"/>
    </row>
    <row r="42" spans="1:53" s="246" customFormat="1" ht="15" x14ac:dyDescent="0.2">
      <c r="R42" s="309"/>
      <c r="S42" s="410"/>
      <c r="AS42" s="288" t="str">
        <f t="shared" si="1"/>
        <v/>
      </c>
      <c r="AT42" s="326">
        <f t="shared" si="5"/>
        <v>0</v>
      </c>
      <c r="AU42" s="326"/>
      <c r="AV42" s="326">
        <f t="shared" si="2"/>
        <v>0</v>
      </c>
      <c r="AW42" s="326">
        <f t="shared" si="6"/>
        <v>0</v>
      </c>
      <c r="AX42" s="288">
        <f t="shared" si="7"/>
        <v>0</v>
      </c>
      <c r="AY42" s="327">
        <f t="shared" si="8"/>
        <v>0</v>
      </c>
      <c r="AZ42" s="288">
        <f t="shared" si="4"/>
        <v>0</v>
      </c>
      <c r="BA42" s="288"/>
    </row>
    <row r="43" spans="1:53" s="246" customFormat="1" ht="15" x14ac:dyDescent="0.2">
      <c r="R43" s="412"/>
      <c r="S43" s="387"/>
      <c r="AS43" s="288" t="str">
        <f t="shared" si="1"/>
        <v/>
      </c>
      <c r="AT43" s="326">
        <f t="shared" si="5"/>
        <v>0</v>
      </c>
      <c r="AU43" s="326"/>
      <c r="AV43" s="326">
        <f t="shared" si="2"/>
        <v>0</v>
      </c>
      <c r="AW43" s="326">
        <f t="shared" si="6"/>
        <v>0</v>
      </c>
      <c r="AX43" s="288">
        <f t="shared" si="7"/>
        <v>0</v>
      </c>
      <c r="AY43" s="327">
        <f t="shared" si="8"/>
        <v>0</v>
      </c>
      <c r="AZ43" s="288">
        <f t="shared" si="4"/>
        <v>0</v>
      </c>
      <c r="BA43" s="288"/>
    </row>
    <row r="44" spans="1:53" s="246" customFormat="1" ht="15" x14ac:dyDescent="0.2">
      <c r="S44" s="387"/>
      <c r="AS44" s="288" t="str">
        <f t="shared" si="1"/>
        <v/>
      </c>
      <c r="AT44" s="326">
        <f t="shared" si="5"/>
        <v>0</v>
      </c>
      <c r="AU44" s="326"/>
      <c r="AV44" s="326">
        <f t="shared" si="2"/>
        <v>0</v>
      </c>
      <c r="AW44" s="326">
        <f t="shared" si="6"/>
        <v>0</v>
      </c>
      <c r="AX44" s="288">
        <f t="shared" si="7"/>
        <v>0</v>
      </c>
      <c r="AY44" s="327">
        <f t="shared" si="8"/>
        <v>0</v>
      </c>
      <c r="AZ44" s="288">
        <f t="shared" si="4"/>
        <v>0</v>
      </c>
      <c r="BA44" s="288"/>
    </row>
    <row r="45" spans="1:53" s="246" customFormat="1" ht="15" x14ac:dyDescent="0.2">
      <c r="S45" s="387"/>
      <c r="AS45" s="288" t="str">
        <f t="shared" si="1"/>
        <v/>
      </c>
      <c r="AT45" s="326">
        <f t="shared" si="5"/>
        <v>0</v>
      </c>
      <c r="AU45" s="326"/>
      <c r="AV45" s="326">
        <f t="shared" si="2"/>
        <v>0</v>
      </c>
      <c r="AW45" s="326">
        <f t="shared" si="6"/>
        <v>0</v>
      </c>
      <c r="AX45" s="288">
        <f t="shared" si="7"/>
        <v>0</v>
      </c>
      <c r="AY45" s="327">
        <f t="shared" si="8"/>
        <v>0</v>
      </c>
      <c r="AZ45" s="288">
        <f t="shared" si="4"/>
        <v>0</v>
      </c>
      <c r="BA45" s="288"/>
    </row>
    <row r="46" spans="1:53" s="246" customFormat="1" ht="15" x14ac:dyDescent="0.2">
      <c r="S46" s="387"/>
      <c r="AS46" s="288" t="str">
        <f t="shared" si="1"/>
        <v/>
      </c>
      <c r="AT46" s="326">
        <f t="shared" si="5"/>
        <v>0</v>
      </c>
      <c r="AU46" s="326"/>
      <c r="AV46" s="326">
        <f t="shared" si="2"/>
        <v>0</v>
      </c>
      <c r="AW46" s="326">
        <f t="shared" si="6"/>
        <v>0</v>
      </c>
      <c r="AX46" s="288">
        <f t="shared" si="7"/>
        <v>0</v>
      </c>
      <c r="AY46" s="327">
        <f t="shared" si="8"/>
        <v>0</v>
      </c>
      <c r="AZ46" s="288">
        <f t="shared" si="4"/>
        <v>0</v>
      </c>
      <c r="BA46" s="288"/>
    </row>
    <row r="47" spans="1:53" s="246" customFormat="1" ht="15" x14ac:dyDescent="0.2">
      <c r="S47" s="387"/>
      <c r="AS47" s="288" t="str">
        <f t="shared" si="1"/>
        <v/>
      </c>
      <c r="AT47" s="326">
        <f t="shared" si="5"/>
        <v>0</v>
      </c>
      <c r="AU47" s="326"/>
      <c r="AV47" s="326">
        <f t="shared" si="2"/>
        <v>0</v>
      </c>
      <c r="AW47" s="326">
        <f t="shared" si="6"/>
        <v>0</v>
      </c>
      <c r="AX47" s="288">
        <f t="shared" si="7"/>
        <v>0</v>
      </c>
      <c r="AY47" s="327">
        <f t="shared" si="8"/>
        <v>0</v>
      </c>
      <c r="AZ47" s="288">
        <f t="shared" si="4"/>
        <v>0</v>
      </c>
      <c r="BA47" s="288"/>
    </row>
    <row r="48" spans="1:53" s="246" customFormat="1" ht="15" x14ac:dyDescent="0.2">
      <c r="AS48" s="288" t="str">
        <f t="shared" si="1"/>
        <v/>
      </c>
      <c r="AT48" s="326">
        <f t="shared" si="5"/>
        <v>0</v>
      </c>
      <c r="AU48" s="326"/>
      <c r="AV48" s="326">
        <f t="shared" si="2"/>
        <v>0</v>
      </c>
      <c r="AW48" s="326">
        <f t="shared" si="6"/>
        <v>0</v>
      </c>
      <c r="AX48" s="288">
        <f t="shared" si="7"/>
        <v>0</v>
      </c>
      <c r="AY48" s="327">
        <f t="shared" si="8"/>
        <v>0</v>
      </c>
      <c r="AZ48" s="288">
        <f t="shared" si="4"/>
        <v>0</v>
      </c>
      <c r="BA48" s="288"/>
    </row>
    <row r="49" spans="45:53" s="246" customFormat="1" ht="15" x14ac:dyDescent="0.2">
      <c r="AS49" s="288" t="str">
        <f t="shared" si="1"/>
        <v/>
      </c>
      <c r="AT49" s="326">
        <f t="shared" si="5"/>
        <v>0</v>
      </c>
      <c r="AU49" s="326"/>
      <c r="AV49" s="326">
        <f t="shared" si="2"/>
        <v>0</v>
      </c>
      <c r="AW49" s="326">
        <f t="shared" si="6"/>
        <v>0</v>
      </c>
      <c r="AX49" s="288">
        <f t="shared" si="7"/>
        <v>0</v>
      </c>
      <c r="AY49" s="327">
        <f t="shared" si="8"/>
        <v>0</v>
      </c>
      <c r="AZ49" s="288">
        <f t="shared" si="4"/>
        <v>0</v>
      </c>
      <c r="BA49" s="288"/>
    </row>
    <row r="50" spans="45:53" s="246" customFormat="1" ht="15" x14ac:dyDescent="0.2">
      <c r="AS50" s="288" t="str">
        <f t="shared" si="1"/>
        <v/>
      </c>
      <c r="AT50" s="326">
        <f t="shared" si="5"/>
        <v>0</v>
      </c>
      <c r="AU50" s="326"/>
      <c r="AV50" s="326">
        <f t="shared" si="2"/>
        <v>0</v>
      </c>
      <c r="AW50" s="326">
        <f t="shared" si="6"/>
        <v>0</v>
      </c>
      <c r="AX50" s="288">
        <f t="shared" si="7"/>
        <v>0</v>
      </c>
      <c r="AY50" s="327">
        <f t="shared" si="8"/>
        <v>0</v>
      </c>
      <c r="AZ50" s="288">
        <f t="shared" si="4"/>
        <v>0</v>
      </c>
      <c r="BA50" s="288"/>
    </row>
    <row r="51" spans="45:53" s="246" customFormat="1" ht="15" x14ac:dyDescent="0.2">
      <c r="AS51" s="288" t="str">
        <f t="shared" si="1"/>
        <v/>
      </c>
      <c r="AT51" s="326">
        <f t="shared" si="5"/>
        <v>0</v>
      </c>
      <c r="AU51" s="326"/>
      <c r="AV51" s="326">
        <f t="shared" si="2"/>
        <v>0</v>
      </c>
      <c r="AW51" s="326">
        <f t="shared" si="6"/>
        <v>0</v>
      </c>
      <c r="AX51" s="288">
        <f t="shared" si="7"/>
        <v>0</v>
      </c>
      <c r="AY51" s="327">
        <f t="shared" si="8"/>
        <v>0</v>
      </c>
      <c r="AZ51" s="288">
        <f t="shared" si="4"/>
        <v>0</v>
      </c>
      <c r="BA51" s="288"/>
    </row>
    <row r="52" spans="45:53" s="246" customFormat="1" ht="15" x14ac:dyDescent="0.2">
      <c r="AS52" s="288" t="str">
        <f t="shared" si="1"/>
        <v/>
      </c>
      <c r="AT52" s="326">
        <f t="shared" si="5"/>
        <v>0</v>
      </c>
      <c r="AU52" s="326"/>
      <c r="AV52" s="326">
        <f t="shared" si="2"/>
        <v>0</v>
      </c>
      <c r="AW52" s="326">
        <f t="shared" si="6"/>
        <v>0</v>
      </c>
      <c r="AX52" s="288">
        <f t="shared" si="7"/>
        <v>0</v>
      </c>
      <c r="AY52" s="327">
        <f t="shared" si="8"/>
        <v>0</v>
      </c>
      <c r="AZ52" s="288">
        <f t="shared" si="4"/>
        <v>0</v>
      </c>
      <c r="BA52" s="288"/>
    </row>
    <row r="53" spans="45:53" s="246" customFormat="1" ht="15" x14ac:dyDescent="0.2">
      <c r="AS53" s="288" t="str">
        <f t="shared" si="1"/>
        <v/>
      </c>
      <c r="AT53" s="326">
        <f t="shared" si="5"/>
        <v>0</v>
      </c>
      <c r="AU53" s="326"/>
      <c r="AV53" s="326">
        <f t="shared" si="2"/>
        <v>0</v>
      </c>
      <c r="AW53" s="326">
        <f t="shared" si="6"/>
        <v>0</v>
      </c>
      <c r="AX53" s="288">
        <f t="shared" si="7"/>
        <v>0</v>
      </c>
      <c r="AY53" s="327">
        <f t="shared" si="8"/>
        <v>0</v>
      </c>
      <c r="AZ53" s="288">
        <f t="shared" si="4"/>
        <v>0</v>
      </c>
      <c r="BA53" s="288"/>
    </row>
    <row r="54" spans="45:53" s="246" customFormat="1" ht="15" x14ac:dyDescent="0.2">
      <c r="AS54" s="288" t="str">
        <f t="shared" si="1"/>
        <v/>
      </c>
      <c r="AT54" s="326">
        <f t="shared" si="5"/>
        <v>0</v>
      </c>
      <c r="AU54" s="326"/>
      <c r="AV54" s="326">
        <f t="shared" si="2"/>
        <v>0</v>
      </c>
      <c r="AW54" s="326">
        <f t="shared" si="6"/>
        <v>0</v>
      </c>
      <c r="AX54" s="288">
        <f t="shared" si="7"/>
        <v>0</v>
      </c>
      <c r="AY54" s="327">
        <f t="shared" si="8"/>
        <v>0</v>
      </c>
      <c r="AZ54" s="288">
        <f t="shared" si="4"/>
        <v>0</v>
      </c>
      <c r="BA54" s="288"/>
    </row>
    <row r="55" spans="45:53" s="246" customFormat="1" ht="15" x14ac:dyDescent="0.2">
      <c r="AS55" s="288" t="str">
        <f t="shared" si="1"/>
        <v/>
      </c>
      <c r="AT55" s="326">
        <f t="shared" si="5"/>
        <v>0</v>
      </c>
      <c r="AU55" s="326"/>
      <c r="AV55" s="326">
        <f t="shared" si="2"/>
        <v>0</v>
      </c>
      <c r="AW55" s="326">
        <f t="shared" si="6"/>
        <v>0</v>
      </c>
      <c r="AX55" s="288">
        <f t="shared" si="7"/>
        <v>0</v>
      </c>
      <c r="AY55" s="327">
        <f t="shared" si="8"/>
        <v>0</v>
      </c>
      <c r="AZ55" s="288">
        <f t="shared" si="4"/>
        <v>0</v>
      </c>
      <c r="BA55" s="288"/>
    </row>
    <row r="56" spans="45:53" s="246" customFormat="1" ht="15" x14ac:dyDescent="0.2">
      <c r="AS56" s="288" t="str">
        <f t="shared" si="1"/>
        <v/>
      </c>
      <c r="AT56" s="326">
        <f t="shared" si="5"/>
        <v>0</v>
      </c>
      <c r="AU56" s="326"/>
      <c r="AV56" s="326">
        <f t="shared" si="2"/>
        <v>0</v>
      </c>
      <c r="AW56" s="326">
        <f t="shared" si="6"/>
        <v>0</v>
      </c>
      <c r="AX56" s="288">
        <f t="shared" si="7"/>
        <v>0</v>
      </c>
      <c r="AY56" s="327">
        <f t="shared" si="8"/>
        <v>0</v>
      </c>
      <c r="AZ56" s="288">
        <f t="shared" si="4"/>
        <v>0</v>
      </c>
      <c r="BA56" s="288"/>
    </row>
    <row r="57" spans="45:53" s="246" customFormat="1" ht="15" x14ac:dyDescent="0.2">
      <c r="AS57" s="288" t="str">
        <f t="shared" si="1"/>
        <v/>
      </c>
      <c r="AT57" s="326">
        <f t="shared" si="5"/>
        <v>0</v>
      </c>
      <c r="AU57" s="326"/>
      <c r="AV57" s="326">
        <f t="shared" si="2"/>
        <v>0</v>
      </c>
      <c r="AW57" s="326">
        <f t="shared" si="6"/>
        <v>0</v>
      </c>
      <c r="AX57" s="288">
        <f t="shared" si="7"/>
        <v>0</v>
      </c>
      <c r="AY57" s="327">
        <f t="shared" si="8"/>
        <v>0</v>
      </c>
      <c r="AZ57" s="288">
        <f t="shared" si="4"/>
        <v>0</v>
      </c>
      <c r="BA57" s="288"/>
    </row>
    <row r="58" spans="45:53" s="246" customFormat="1" ht="15" x14ac:dyDescent="0.2">
      <c r="AS58" s="288" t="str">
        <f t="shared" si="1"/>
        <v/>
      </c>
      <c r="AT58" s="326">
        <f t="shared" si="5"/>
        <v>0</v>
      </c>
      <c r="AU58" s="326"/>
      <c r="AV58" s="326">
        <f t="shared" si="2"/>
        <v>0</v>
      </c>
      <c r="AW58" s="326">
        <f t="shared" si="6"/>
        <v>0</v>
      </c>
      <c r="AX58" s="288">
        <f t="shared" si="7"/>
        <v>0</v>
      </c>
      <c r="AY58" s="327">
        <f t="shared" si="8"/>
        <v>0</v>
      </c>
      <c r="AZ58" s="288">
        <f t="shared" si="4"/>
        <v>0</v>
      </c>
      <c r="BA58" s="288"/>
    </row>
    <row r="59" spans="45:53" s="246" customFormat="1" ht="15" x14ac:dyDescent="0.2">
      <c r="AS59" s="288" t="str">
        <f t="shared" si="1"/>
        <v/>
      </c>
      <c r="AT59" s="326">
        <f t="shared" si="5"/>
        <v>0</v>
      </c>
      <c r="AU59" s="326"/>
      <c r="AV59" s="326">
        <f t="shared" si="2"/>
        <v>0</v>
      </c>
      <c r="AW59" s="326">
        <f t="shared" si="6"/>
        <v>0</v>
      </c>
      <c r="AX59" s="288">
        <f t="shared" si="7"/>
        <v>0</v>
      </c>
      <c r="AY59" s="327">
        <f t="shared" si="8"/>
        <v>0</v>
      </c>
      <c r="AZ59" s="288">
        <f t="shared" si="4"/>
        <v>0</v>
      </c>
      <c r="BA59" s="288"/>
    </row>
    <row r="60" spans="45:53" s="246" customFormat="1" ht="15" x14ac:dyDescent="0.2">
      <c r="AS60" s="288" t="str">
        <f t="shared" si="1"/>
        <v/>
      </c>
      <c r="AT60" s="326">
        <f t="shared" si="5"/>
        <v>0</v>
      </c>
      <c r="AU60" s="326"/>
      <c r="AV60" s="326">
        <f t="shared" si="2"/>
        <v>0</v>
      </c>
      <c r="AW60" s="326">
        <f t="shared" si="6"/>
        <v>0</v>
      </c>
      <c r="AX60" s="288">
        <f t="shared" si="7"/>
        <v>0</v>
      </c>
      <c r="AY60" s="327">
        <f t="shared" si="8"/>
        <v>0</v>
      </c>
      <c r="AZ60" s="288">
        <f t="shared" si="4"/>
        <v>0</v>
      </c>
      <c r="BA60" s="288"/>
    </row>
    <row r="61" spans="45:53" s="246" customFormat="1" ht="15" x14ac:dyDescent="0.2">
      <c r="AS61" s="288" t="str">
        <f t="shared" si="1"/>
        <v/>
      </c>
      <c r="AT61" s="326">
        <f t="shared" si="5"/>
        <v>0</v>
      </c>
      <c r="AU61" s="326"/>
      <c r="AV61" s="326">
        <f t="shared" si="2"/>
        <v>0</v>
      </c>
      <c r="AW61" s="326">
        <f t="shared" si="6"/>
        <v>0</v>
      </c>
      <c r="AX61" s="288">
        <f t="shared" si="7"/>
        <v>0</v>
      </c>
      <c r="AY61" s="327">
        <f t="shared" si="8"/>
        <v>0</v>
      </c>
      <c r="AZ61" s="288">
        <f t="shared" si="4"/>
        <v>0</v>
      </c>
      <c r="BA61" s="288"/>
    </row>
    <row r="62" spans="45:53" s="246" customFormat="1" ht="15" x14ac:dyDescent="0.2">
      <c r="AS62" s="288" t="str">
        <f t="shared" si="1"/>
        <v/>
      </c>
      <c r="AT62" s="326">
        <f t="shared" si="5"/>
        <v>0</v>
      </c>
      <c r="AU62" s="326"/>
      <c r="AV62" s="326">
        <f t="shared" si="2"/>
        <v>0</v>
      </c>
      <c r="AW62" s="326">
        <f t="shared" si="6"/>
        <v>0</v>
      </c>
      <c r="AX62" s="288">
        <f t="shared" si="7"/>
        <v>0</v>
      </c>
      <c r="AY62" s="327">
        <f t="shared" si="8"/>
        <v>0</v>
      </c>
      <c r="AZ62" s="288">
        <f t="shared" si="4"/>
        <v>0</v>
      </c>
      <c r="BA62" s="288"/>
    </row>
    <row r="63" spans="45:53" s="246" customFormat="1" ht="15" x14ac:dyDescent="0.2">
      <c r="AS63" s="288" t="str">
        <f t="shared" si="1"/>
        <v/>
      </c>
      <c r="AT63" s="326">
        <f t="shared" si="5"/>
        <v>0</v>
      </c>
      <c r="AU63" s="326"/>
      <c r="AV63" s="326">
        <f t="shared" si="2"/>
        <v>0</v>
      </c>
      <c r="AW63" s="326">
        <f t="shared" si="6"/>
        <v>0</v>
      </c>
      <c r="AX63" s="288">
        <f t="shared" si="7"/>
        <v>0</v>
      </c>
      <c r="AY63" s="327">
        <f t="shared" si="8"/>
        <v>0</v>
      </c>
      <c r="AZ63" s="288">
        <f t="shared" si="4"/>
        <v>0</v>
      </c>
      <c r="BA63" s="288"/>
    </row>
    <row r="64" spans="45:53" s="246" customFormat="1" ht="15" x14ac:dyDescent="0.2">
      <c r="AS64" s="288" t="str">
        <f t="shared" si="1"/>
        <v/>
      </c>
      <c r="AT64" s="326">
        <f t="shared" si="5"/>
        <v>0</v>
      </c>
      <c r="AU64" s="326"/>
      <c r="AV64" s="326">
        <f t="shared" si="2"/>
        <v>0</v>
      </c>
      <c r="AW64" s="326">
        <f t="shared" si="6"/>
        <v>0</v>
      </c>
      <c r="AX64" s="288">
        <f t="shared" si="7"/>
        <v>0</v>
      </c>
      <c r="AY64" s="327">
        <f t="shared" si="8"/>
        <v>0</v>
      </c>
      <c r="AZ64" s="288">
        <f t="shared" si="4"/>
        <v>0</v>
      </c>
      <c r="BA64" s="288"/>
    </row>
    <row r="65" spans="45:53" s="246" customFormat="1" ht="15" x14ac:dyDescent="0.2">
      <c r="AS65" s="288" t="str">
        <f t="shared" si="1"/>
        <v/>
      </c>
      <c r="AT65" s="326">
        <f t="shared" si="5"/>
        <v>0</v>
      </c>
      <c r="AU65" s="326"/>
      <c r="AV65" s="326">
        <f t="shared" si="2"/>
        <v>0</v>
      </c>
      <c r="AW65" s="326">
        <f t="shared" si="6"/>
        <v>0</v>
      </c>
      <c r="AX65" s="288">
        <f t="shared" si="7"/>
        <v>0</v>
      </c>
      <c r="AY65" s="327">
        <f t="shared" si="8"/>
        <v>0</v>
      </c>
      <c r="AZ65" s="288">
        <f t="shared" si="4"/>
        <v>0</v>
      </c>
      <c r="BA65" s="288"/>
    </row>
    <row r="66" spans="45:53" s="246" customFormat="1" ht="15" x14ac:dyDescent="0.2">
      <c r="AS66" s="288" t="str">
        <f t="shared" si="1"/>
        <v/>
      </c>
      <c r="AT66" s="326">
        <f t="shared" si="5"/>
        <v>0</v>
      </c>
      <c r="AU66" s="326"/>
      <c r="AV66" s="326">
        <f t="shared" si="2"/>
        <v>0</v>
      </c>
      <c r="AW66" s="326">
        <f t="shared" si="6"/>
        <v>0</v>
      </c>
      <c r="AX66" s="288">
        <f t="shared" si="7"/>
        <v>0</v>
      </c>
      <c r="AY66" s="327">
        <f t="shared" si="8"/>
        <v>0</v>
      </c>
      <c r="AZ66" s="288">
        <f t="shared" si="4"/>
        <v>0</v>
      </c>
      <c r="BA66" s="288"/>
    </row>
    <row r="67" spans="45:53" s="246" customFormat="1" ht="15" x14ac:dyDescent="0.2">
      <c r="AS67" s="288" t="str">
        <f t="shared" si="1"/>
        <v/>
      </c>
      <c r="AT67" s="326">
        <f t="shared" si="5"/>
        <v>0</v>
      </c>
      <c r="AU67" s="326"/>
      <c r="AV67" s="326">
        <f t="shared" si="2"/>
        <v>0</v>
      </c>
      <c r="AW67" s="326">
        <f t="shared" si="6"/>
        <v>0</v>
      </c>
      <c r="AX67" s="288">
        <f t="shared" si="7"/>
        <v>0</v>
      </c>
      <c r="AY67" s="327">
        <f t="shared" si="8"/>
        <v>0</v>
      </c>
      <c r="AZ67" s="288">
        <f t="shared" si="4"/>
        <v>0</v>
      </c>
      <c r="BA67" s="288"/>
    </row>
    <row r="68" spans="45:53" s="246" customFormat="1" ht="15" x14ac:dyDescent="0.2">
      <c r="AS68" s="288" t="str">
        <f t="shared" si="1"/>
        <v/>
      </c>
      <c r="AT68" s="326">
        <f t="shared" si="5"/>
        <v>0</v>
      </c>
      <c r="AU68" s="326"/>
      <c r="AV68" s="326">
        <f t="shared" si="2"/>
        <v>0</v>
      </c>
      <c r="AW68" s="326">
        <f t="shared" si="6"/>
        <v>0</v>
      </c>
      <c r="AX68" s="288">
        <f t="shared" si="7"/>
        <v>0</v>
      </c>
      <c r="AY68" s="327">
        <f t="shared" si="8"/>
        <v>0</v>
      </c>
      <c r="AZ68" s="288">
        <f t="shared" si="4"/>
        <v>0</v>
      </c>
      <c r="BA68" s="288"/>
    </row>
    <row r="69" spans="45:53" s="246" customFormat="1" ht="15" x14ac:dyDescent="0.2">
      <c r="AS69" s="288" t="str">
        <f t="shared" ref="AS69:AS114" si="9">IF(AS68&lt;$D$14,AS68+1,"")</f>
        <v/>
      </c>
      <c r="AT69" s="326">
        <f t="shared" si="5"/>
        <v>0</v>
      </c>
      <c r="AU69" s="326"/>
      <c r="AV69" s="326">
        <f t="shared" si="2"/>
        <v>0</v>
      </c>
      <c r="AW69" s="326">
        <f t="shared" si="6"/>
        <v>0</v>
      </c>
      <c r="AX69" s="288">
        <f t="shared" si="7"/>
        <v>0</v>
      </c>
      <c r="AY69" s="327">
        <f t="shared" si="8"/>
        <v>0</v>
      </c>
      <c r="AZ69" s="288">
        <f t="shared" si="4"/>
        <v>0</v>
      </c>
      <c r="BA69" s="288"/>
    </row>
    <row r="70" spans="45:53" s="246" customFormat="1" ht="15" x14ac:dyDescent="0.2">
      <c r="AS70" s="288" t="str">
        <f t="shared" si="9"/>
        <v/>
      </c>
      <c r="AT70" s="326">
        <f t="shared" si="5"/>
        <v>0</v>
      </c>
      <c r="AU70" s="326"/>
      <c r="AV70" s="326">
        <f t="shared" si="2"/>
        <v>0</v>
      </c>
      <c r="AW70" s="326">
        <f t="shared" si="6"/>
        <v>0</v>
      </c>
      <c r="AX70" s="288">
        <f t="shared" si="7"/>
        <v>0</v>
      </c>
      <c r="AY70" s="327">
        <f t="shared" si="8"/>
        <v>0</v>
      </c>
      <c r="AZ70" s="288">
        <f t="shared" si="4"/>
        <v>0</v>
      </c>
      <c r="BA70" s="288"/>
    </row>
    <row r="71" spans="45:53" s="246" customFormat="1" ht="15" x14ac:dyDescent="0.2">
      <c r="AS71" s="288" t="str">
        <f t="shared" si="9"/>
        <v/>
      </c>
      <c r="AT71" s="326">
        <f t="shared" si="5"/>
        <v>0</v>
      </c>
      <c r="AU71" s="326"/>
      <c r="AV71" s="326">
        <f t="shared" si="2"/>
        <v>0</v>
      </c>
      <c r="AW71" s="326">
        <f t="shared" si="6"/>
        <v>0</v>
      </c>
      <c r="AX71" s="288">
        <f t="shared" si="7"/>
        <v>0</v>
      </c>
      <c r="AY71" s="327">
        <f t="shared" si="8"/>
        <v>0</v>
      </c>
      <c r="AZ71" s="288">
        <f t="shared" si="4"/>
        <v>0</v>
      </c>
      <c r="BA71" s="288"/>
    </row>
    <row r="72" spans="45:53" s="246" customFormat="1" ht="15" x14ac:dyDescent="0.2">
      <c r="AS72" s="288" t="str">
        <f t="shared" si="9"/>
        <v/>
      </c>
      <c r="AT72" s="326">
        <f t="shared" si="5"/>
        <v>0</v>
      </c>
      <c r="AU72" s="326"/>
      <c r="AV72" s="326">
        <f t="shared" ref="AV72:AV114" si="10">$D$10*AT72</f>
        <v>0</v>
      </c>
      <c r="AW72" s="326">
        <f t="shared" si="6"/>
        <v>0</v>
      </c>
      <c r="AX72" s="288">
        <f t="shared" si="7"/>
        <v>0</v>
      </c>
      <c r="AY72" s="327">
        <f t="shared" si="8"/>
        <v>0</v>
      </c>
      <c r="AZ72" s="288">
        <f t="shared" ref="AZ72:AZ114" si="11">IF(ISNUMBER(AS72),AY72/(1+$D$7)^AS72,0)</f>
        <v>0</v>
      </c>
      <c r="BA72" s="288"/>
    </row>
    <row r="73" spans="45:53" s="246" customFormat="1" ht="15" x14ac:dyDescent="0.2">
      <c r="AS73" s="288" t="str">
        <f t="shared" si="9"/>
        <v/>
      </c>
      <c r="AT73" s="326">
        <f t="shared" ref="AT73:AT114" si="12">IF(ISNUMBER(AS73),AW72,0)</f>
        <v>0</v>
      </c>
      <c r="AU73" s="326"/>
      <c r="AV73" s="326">
        <f t="shared" si="10"/>
        <v>0</v>
      </c>
      <c r="AW73" s="326">
        <f t="shared" ref="AW73:AW114" si="13">AT73</f>
        <v>0</v>
      </c>
      <c r="AX73" s="288">
        <f t="shared" si="7"/>
        <v>0</v>
      </c>
      <c r="AY73" s="327">
        <f t="shared" si="8"/>
        <v>0</v>
      </c>
      <c r="AZ73" s="288">
        <f t="shared" si="11"/>
        <v>0</v>
      </c>
      <c r="BA73" s="288"/>
    </row>
    <row r="74" spans="45:53" s="246" customFormat="1" ht="15" x14ac:dyDescent="0.2">
      <c r="AS74" s="288" t="str">
        <f t="shared" si="9"/>
        <v/>
      </c>
      <c r="AT74" s="326">
        <f t="shared" si="12"/>
        <v>0</v>
      </c>
      <c r="AU74" s="326"/>
      <c r="AV74" s="326">
        <f t="shared" si="10"/>
        <v>0</v>
      </c>
      <c r="AW74" s="326">
        <f t="shared" si="13"/>
        <v>0</v>
      </c>
      <c r="AX74" s="288">
        <f t="shared" si="7"/>
        <v>0</v>
      </c>
      <c r="AY74" s="327">
        <f t="shared" si="8"/>
        <v>0</v>
      </c>
      <c r="AZ74" s="288">
        <f t="shared" si="11"/>
        <v>0</v>
      </c>
      <c r="BA74" s="288"/>
    </row>
    <row r="75" spans="45:53" s="246" customFormat="1" ht="15" x14ac:dyDescent="0.2">
      <c r="AS75" s="288" t="str">
        <f t="shared" si="9"/>
        <v/>
      </c>
      <c r="AT75" s="326">
        <f t="shared" si="12"/>
        <v>0</v>
      </c>
      <c r="AU75" s="326"/>
      <c r="AV75" s="326">
        <f t="shared" si="10"/>
        <v>0</v>
      </c>
      <c r="AW75" s="326">
        <f t="shared" si="13"/>
        <v>0</v>
      </c>
      <c r="AX75" s="288">
        <f t="shared" si="7"/>
        <v>0</v>
      </c>
      <c r="AY75" s="327">
        <f t="shared" si="8"/>
        <v>0</v>
      </c>
      <c r="AZ75" s="288">
        <f t="shared" si="11"/>
        <v>0</v>
      </c>
      <c r="BA75" s="288"/>
    </row>
    <row r="76" spans="45:53" s="246" customFormat="1" ht="15" x14ac:dyDescent="0.2">
      <c r="AS76" s="288" t="str">
        <f t="shared" si="9"/>
        <v/>
      </c>
      <c r="AT76" s="326">
        <f t="shared" si="12"/>
        <v>0</v>
      </c>
      <c r="AU76" s="326"/>
      <c r="AV76" s="326">
        <f t="shared" si="10"/>
        <v>0</v>
      </c>
      <c r="AW76" s="326">
        <f t="shared" si="13"/>
        <v>0</v>
      </c>
      <c r="AX76" s="288">
        <f t="shared" si="7"/>
        <v>0</v>
      </c>
      <c r="AY76" s="327">
        <f t="shared" si="8"/>
        <v>0</v>
      </c>
      <c r="AZ76" s="288">
        <f t="shared" si="11"/>
        <v>0</v>
      </c>
      <c r="BA76" s="288"/>
    </row>
    <row r="77" spans="45:53" s="246" customFormat="1" ht="15" x14ac:dyDescent="0.2">
      <c r="AS77" s="288" t="str">
        <f t="shared" si="9"/>
        <v/>
      </c>
      <c r="AT77" s="326">
        <f t="shared" si="12"/>
        <v>0</v>
      </c>
      <c r="AU77" s="326"/>
      <c r="AV77" s="326">
        <f t="shared" si="10"/>
        <v>0</v>
      </c>
      <c r="AW77" s="326">
        <f t="shared" si="13"/>
        <v>0</v>
      </c>
      <c r="AX77" s="288">
        <f t="shared" si="7"/>
        <v>0</v>
      </c>
      <c r="AY77" s="327">
        <f t="shared" si="8"/>
        <v>0</v>
      </c>
      <c r="AZ77" s="288">
        <f t="shared" si="11"/>
        <v>0</v>
      </c>
      <c r="BA77" s="288"/>
    </row>
    <row r="78" spans="45:53" s="246" customFormat="1" ht="15" x14ac:dyDescent="0.2">
      <c r="AS78" s="288" t="str">
        <f t="shared" si="9"/>
        <v/>
      </c>
      <c r="AT78" s="326">
        <f t="shared" si="12"/>
        <v>0</v>
      </c>
      <c r="AU78" s="326"/>
      <c r="AV78" s="326">
        <f t="shared" si="10"/>
        <v>0</v>
      </c>
      <c r="AW78" s="326">
        <f t="shared" si="13"/>
        <v>0</v>
      </c>
      <c r="AX78" s="288">
        <f t="shared" si="7"/>
        <v>0</v>
      </c>
      <c r="AY78" s="327">
        <f t="shared" si="8"/>
        <v>0</v>
      </c>
      <c r="AZ78" s="288">
        <f t="shared" si="11"/>
        <v>0</v>
      </c>
      <c r="BA78" s="288"/>
    </row>
    <row r="79" spans="45:53" s="246" customFormat="1" ht="15" x14ac:dyDescent="0.2">
      <c r="AS79" s="288" t="str">
        <f t="shared" si="9"/>
        <v/>
      </c>
      <c r="AT79" s="326">
        <f t="shared" si="12"/>
        <v>0</v>
      </c>
      <c r="AU79" s="326"/>
      <c r="AV79" s="326">
        <f t="shared" si="10"/>
        <v>0</v>
      </c>
      <c r="AW79" s="326">
        <f t="shared" si="13"/>
        <v>0</v>
      </c>
      <c r="AX79" s="288">
        <f t="shared" si="7"/>
        <v>0</v>
      </c>
      <c r="AY79" s="327">
        <f t="shared" si="8"/>
        <v>0</v>
      </c>
      <c r="AZ79" s="288">
        <f t="shared" si="11"/>
        <v>0</v>
      </c>
      <c r="BA79" s="288"/>
    </row>
    <row r="80" spans="45:53" s="246" customFormat="1" ht="15" x14ac:dyDescent="0.2">
      <c r="AS80" s="288" t="str">
        <f t="shared" si="9"/>
        <v/>
      </c>
      <c r="AT80" s="326">
        <f t="shared" si="12"/>
        <v>0</v>
      </c>
      <c r="AU80" s="326"/>
      <c r="AV80" s="326">
        <f t="shared" si="10"/>
        <v>0</v>
      </c>
      <c r="AW80" s="326">
        <f t="shared" si="13"/>
        <v>0</v>
      </c>
      <c r="AX80" s="288">
        <f t="shared" si="7"/>
        <v>0</v>
      </c>
      <c r="AY80" s="327">
        <f t="shared" si="8"/>
        <v>0</v>
      </c>
      <c r="AZ80" s="288">
        <f t="shared" si="11"/>
        <v>0</v>
      </c>
      <c r="BA80" s="288"/>
    </row>
    <row r="81" spans="45:53" s="246" customFormat="1" ht="15" x14ac:dyDescent="0.2">
      <c r="AS81" s="288" t="str">
        <f t="shared" si="9"/>
        <v/>
      </c>
      <c r="AT81" s="326">
        <f t="shared" si="12"/>
        <v>0</v>
      </c>
      <c r="AU81" s="326"/>
      <c r="AV81" s="326">
        <f t="shared" si="10"/>
        <v>0</v>
      </c>
      <c r="AW81" s="326">
        <f t="shared" si="13"/>
        <v>0</v>
      </c>
      <c r="AX81" s="288">
        <f t="shared" si="7"/>
        <v>0</v>
      </c>
      <c r="AY81" s="327">
        <f t="shared" si="8"/>
        <v>0</v>
      </c>
      <c r="AZ81" s="288">
        <f t="shared" si="11"/>
        <v>0</v>
      </c>
      <c r="BA81" s="288"/>
    </row>
    <row r="82" spans="45:53" s="246" customFormat="1" ht="15" x14ac:dyDescent="0.2">
      <c r="AS82" s="288" t="str">
        <f t="shared" si="9"/>
        <v/>
      </c>
      <c r="AT82" s="326">
        <f t="shared" si="12"/>
        <v>0</v>
      </c>
      <c r="AU82" s="326"/>
      <c r="AV82" s="326">
        <f t="shared" si="10"/>
        <v>0</v>
      </c>
      <c r="AW82" s="326">
        <f t="shared" si="13"/>
        <v>0</v>
      </c>
      <c r="AX82" s="288">
        <f t="shared" ref="AX82:AX114" si="14">IF(ISNUMBER(AS83),SUM(AU82:AV82),SUM(AU82:AW82))</f>
        <v>0</v>
      </c>
      <c r="AY82" s="327">
        <f t="shared" si="8"/>
        <v>0</v>
      </c>
      <c r="AZ82" s="288">
        <f t="shared" si="11"/>
        <v>0</v>
      </c>
      <c r="BA82" s="288"/>
    </row>
    <row r="83" spans="45:53" s="246" customFormat="1" ht="15" x14ac:dyDescent="0.2">
      <c r="AS83" s="288" t="str">
        <f t="shared" si="9"/>
        <v/>
      </c>
      <c r="AT83" s="326">
        <f t="shared" si="12"/>
        <v>0</v>
      </c>
      <c r="AU83" s="326"/>
      <c r="AV83" s="326">
        <f t="shared" si="10"/>
        <v>0</v>
      </c>
      <c r="AW83" s="326">
        <f t="shared" si="13"/>
        <v>0</v>
      </c>
      <c r="AX83" s="288">
        <f t="shared" si="14"/>
        <v>0</v>
      </c>
      <c r="AY83" s="327">
        <f t="shared" si="8"/>
        <v>0</v>
      </c>
      <c r="AZ83" s="288">
        <f t="shared" si="11"/>
        <v>0</v>
      </c>
      <c r="BA83" s="288"/>
    </row>
    <row r="84" spans="45:53" s="246" customFormat="1" ht="15" x14ac:dyDescent="0.2">
      <c r="AS84" s="288" t="str">
        <f t="shared" si="9"/>
        <v/>
      </c>
      <c r="AT84" s="326">
        <f t="shared" si="12"/>
        <v>0</v>
      </c>
      <c r="AU84" s="326"/>
      <c r="AV84" s="326">
        <f t="shared" si="10"/>
        <v>0</v>
      </c>
      <c r="AW84" s="326">
        <f t="shared" si="13"/>
        <v>0</v>
      </c>
      <c r="AX84" s="288">
        <f t="shared" si="14"/>
        <v>0</v>
      </c>
      <c r="AY84" s="327">
        <f t="shared" si="8"/>
        <v>0</v>
      </c>
      <c r="AZ84" s="288">
        <f t="shared" si="11"/>
        <v>0</v>
      </c>
      <c r="BA84" s="288"/>
    </row>
    <row r="85" spans="45:53" s="246" customFormat="1" ht="15" x14ac:dyDescent="0.2">
      <c r="AS85" s="288" t="str">
        <f t="shared" si="9"/>
        <v/>
      </c>
      <c r="AT85" s="326">
        <f t="shared" si="12"/>
        <v>0</v>
      </c>
      <c r="AU85" s="326"/>
      <c r="AV85" s="326">
        <f t="shared" si="10"/>
        <v>0</v>
      </c>
      <c r="AW85" s="326">
        <f t="shared" si="13"/>
        <v>0</v>
      </c>
      <c r="AX85" s="288">
        <f t="shared" si="14"/>
        <v>0</v>
      </c>
      <c r="AY85" s="327">
        <f t="shared" si="8"/>
        <v>0</v>
      </c>
      <c r="AZ85" s="288">
        <f t="shared" si="11"/>
        <v>0</v>
      </c>
      <c r="BA85" s="288"/>
    </row>
    <row r="86" spans="45:53" s="246" customFormat="1" ht="15" x14ac:dyDescent="0.2">
      <c r="AS86" s="288" t="str">
        <f t="shared" si="9"/>
        <v/>
      </c>
      <c r="AT86" s="326">
        <f t="shared" si="12"/>
        <v>0</v>
      </c>
      <c r="AU86" s="326"/>
      <c r="AV86" s="326">
        <f t="shared" si="10"/>
        <v>0</v>
      </c>
      <c r="AW86" s="326">
        <f t="shared" si="13"/>
        <v>0</v>
      </c>
      <c r="AX86" s="288">
        <f t="shared" si="14"/>
        <v>0</v>
      </c>
      <c r="AY86" s="327">
        <f t="shared" si="8"/>
        <v>0</v>
      </c>
      <c r="AZ86" s="288">
        <f t="shared" si="11"/>
        <v>0</v>
      </c>
      <c r="BA86" s="288"/>
    </row>
    <row r="87" spans="45:53" s="246" customFormat="1" ht="15" x14ac:dyDescent="0.2">
      <c r="AS87" s="288" t="str">
        <f t="shared" si="9"/>
        <v/>
      </c>
      <c r="AT87" s="326">
        <f t="shared" si="12"/>
        <v>0</v>
      </c>
      <c r="AU87" s="326"/>
      <c r="AV87" s="326">
        <f t="shared" si="10"/>
        <v>0</v>
      </c>
      <c r="AW87" s="326">
        <f t="shared" si="13"/>
        <v>0</v>
      </c>
      <c r="AX87" s="288">
        <f t="shared" si="14"/>
        <v>0</v>
      </c>
      <c r="AY87" s="327">
        <f t="shared" si="8"/>
        <v>0</v>
      </c>
      <c r="AZ87" s="288">
        <f t="shared" si="11"/>
        <v>0</v>
      </c>
      <c r="BA87" s="288"/>
    </row>
    <row r="88" spans="45:53" s="246" customFormat="1" ht="15" x14ac:dyDescent="0.2">
      <c r="AS88" s="288" t="str">
        <f t="shared" si="9"/>
        <v/>
      </c>
      <c r="AT88" s="326">
        <f t="shared" si="12"/>
        <v>0</v>
      </c>
      <c r="AU88" s="326"/>
      <c r="AV88" s="326">
        <f t="shared" si="10"/>
        <v>0</v>
      </c>
      <c r="AW88" s="326">
        <f t="shared" si="13"/>
        <v>0</v>
      </c>
      <c r="AX88" s="288">
        <f t="shared" si="14"/>
        <v>0</v>
      </c>
      <c r="AY88" s="327">
        <f t="shared" si="8"/>
        <v>0</v>
      </c>
      <c r="AZ88" s="288">
        <f t="shared" si="11"/>
        <v>0</v>
      </c>
      <c r="BA88" s="288"/>
    </row>
    <row r="89" spans="45:53" s="246" customFormat="1" ht="15" x14ac:dyDescent="0.2">
      <c r="AS89" s="288" t="str">
        <f t="shared" si="9"/>
        <v/>
      </c>
      <c r="AT89" s="326">
        <f t="shared" si="12"/>
        <v>0</v>
      </c>
      <c r="AU89" s="326"/>
      <c r="AV89" s="326">
        <f t="shared" si="10"/>
        <v>0</v>
      </c>
      <c r="AW89" s="326">
        <f t="shared" si="13"/>
        <v>0</v>
      </c>
      <c r="AX89" s="288">
        <f t="shared" si="14"/>
        <v>0</v>
      </c>
      <c r="AY89" s="327">
        <f t="shared" si="8"/>
        <v>0</v>
      </c>
      <c r="AZ89" s="288">
        <f t="shared" si="11"/>
        <v>0</v>
      </c>
      <c r="BA89" s="288"/>
    </row>
    <row r="90" spans="45:53" s="246" customFormat="1" ht="15" x14ac:dyDescent="0.2">
      <c r="AS90" s="288" t="str">
        <f t="shared" si="9"/>
        <v/>
      </c>
      <c r="AT90" s="326">
        <f t="shared" si="12"/>
        <v>0</v>
      </c>
      <c r="AU90" s="326"/>
      <c r="AV90" s="326">
        <f t="shared" si="10"/>
        <v>0</v>
      </c>
      <c r="AW90" s="326">
        <f t="shared" si="13"/>
        <v>0</v>
      </c>
      <c r="AX90" s="288">
        <f t="shared" si="14"/>
        <v>0</v>
      </c>
      <c r="AY90" s="327">
        <f t="shared" si="8"/>
        <v>0</v>
      </c>
      <c r="AZ90" s="288">
        <f t="shared" si="11"/>
        <v>0</v>
      </c>
      <c r="BA90" s="288"/>
    </row>
    <row r="91" spans="45:53" s="246" customFormat="1" ht="15" x14ac:dyDescent="0.2">
      <c r="AS91" s="288" t="str">
        <f t="shared" si="9"/>
        <v/>
      </c>
      <c r="AT91" s="326">
        <f t="shared" si="12"/>
        <v>0</v>
      </c>
      <c r="AU91" s="326"/>
      <c r="AV91" s="326">
        <f t="shared" si="10"/>
        <v>0</v>
      </c>
      <c r="AW91" s="326">
        <f t="shared" si="13"/>
        <v>0</v>
      </c>
      <c r="AX91" s="288">
        <f t="shared" si="14"/>
        <v>0</v>
      </c>
      <c r="AY91" s="327">
        <f t="shared" si="8"/>
        <v>0</v>
      </c>
      <c r="AZ91" s="288">
        <f t="shared" si="11"/>
        <v>0</v>
      </c>
      <c r="BA91" s="288"/>
    </row>
    <row r="92" spans="45:53" s="246" customFormat="1" ht="15" x14ac:dyDescent="0.2">
      <c r="AS92" s="288" t="str">
        <f t="shared" si="9"/>
        <v/>
      </c>
      <c r="AT92" s="326">
        <f t="shared" si="12"/>
        <v>0</v>
      </c>
      <c r="AU92" s="326"/>
      <c r="AV92" s="326">
        <f t="shared" si="10"/>
        <v>0</v>
      </c>
      <c r="AW92" s="326">
        <f t="shared" si="13"/>
        <v>0</v>
      </c>
      <c r="AX92" s="288">
        <f t="shared" si="14"/>
        <v>0</v>
      </c>
      <c r="AY92" s="327">
        <f t="shared" si="8"/>
        <v>0</v>
      </c>
      <c r="AZ92" s="288">
        <f t="shared" si="11"/>
        <v>0</v>
      </c>
      <c r="BA92" s="288"/>
    </row>
    <row r="93" spans="45:53" s="246" customFormat="1" ht="15" x14ac:dyDescent="0.2">
      <c r="AS93" s="288" t="str">
        <f t="shared" si="9"/>
        <v/>
      </c>
      <c r="AT93" s="326">
        <f t="shared" si="12"/>
        <v>0</v>
      </c>
      <c r="AU93" s="326"/>
      <c r="AV93" s="326">
        <f t="shared" si="10"/>
        <v>0</v>
      </c>
      <c r="AW93" s="326">
        <f t="shared" si="13"/>
        <v>0</v>
      </c>
      <c r="AX93" s="288">
        <f t="shared" si="14"/>
        <v>0</v>
      </c>
      <c r="AY93" s="327">
        <f t="shared" si="8"/>
        <v>0</v>
      </c>
      <c r="AZ93" s="288">
        <f t="shared" si="11"/>
        <v>0</v>
      </c>
      <c r="BA93" s="288"/>
    </row>
    <row r="94" spans="45:53" s="246" customFormat="1" ht="15" x14ac:dyDescent="0.2">
      <c r="AS94" s="288" t="str">
        <f t="shared" si="9"/>
        <v/>
      </c>
      <c r="AT94" s="326">
        <f t="shared" si="12"/>
        <v>0</v>
      </c>
      <c r="AU94" s="326"/>
      <c r="AV94" s="326">
        <f t="shared" si="10"/>
        <v>0</v>
      </c>
      <c r="AW94" s="326">
        <f t="shared" si="13"/>
        <v>0</v>
      </c>
      <c r="AX94" s="288">
        <f t="shared" si="14"/>
        <v>0</v>
      </c>
      <c r="AY94" s="327">
        <f t="shared" si="8"/>
        <v>0</v>
      </c>
      <c r="AZ94" s="288">
        <f t="shared" si="11"/>
        <v>0</v>
      </c>
      <c r="BA94" s="288"/>
    </row>
    <row r="95" spans="45:53" s="246" customFormat="1" ht="15" x14ac:dyDescent="0.2">
      <c r="AS95" s="288" t="str">
        <f t="shared" si="9"/>
        <v/>
      </c>
      <c r="AT95" s="326">
        <f t="shared" si="12"/>
        <v>0</v>
      </c>
      <c r="AU95" s="326"/>
      <c r="AV95" s="326">
        <f t="shared" si="10"/>
        <v>0</v>
      </c>
      <c r="AW95" s="326">
        <f t="shared" si="13"/>
        <v>0</v>
      </c>
      <c r="AX95" s="288">
        <f t="shared" si="14"/>
        <v>0</v>
      </c>
      <c r="AY95" s="327">
        <f t="shared" si="8"/>
        <v>0</v>
      </c>
      <c r="AZ95" s="288">
        <f t="shared" si="11"/>
        <v>0</v>
      </c>
      <c r="BA95" s="288"/>
    </row>
    <row r="96" spans="45:53" s="246" customFormat="1" ht="15" x14ac:dyDescent="0.2">
      <c r="AS96" s="288" t="str">
        <f t="shared" si="9"/>
        <v/>
      </c>
      <c r="AT96" s="326">
        <f t="shared" si="12"/>
        <v>0</v>
      </c>
      <c r="AU96" s="326"/>
      <c r="AV96" s="326">
        <f t="shared" si="10"/>
        <v>0</v>
      </c>
      <c r="AW96" s="326">
        <f t="shared" si="13"/>
        <v>0</v>
      </c>
      <c r="AX96" s="288">
        <f t="shared" si="14"/>
        <v>0</v>
      </c>
      <c r="AY96" s="327">
        <f t="shared" si="8"/>
        <v>0</v>
      </c>
      <c r="AZ96" s="288">
        <f t="shared" si="11"/>
        <v>0</v>
      </c>
      <c r="BA96" s="288"/>
    </row>
    <row r="97" spans="45:53" s="246" customFormat="1" ht="15" x14ac:dyDescent="0.2">
      <c r="AS97" s="288" t="str">
        <f t="shared" si="9"/>
        <v/>
      </c>
      <c r="AT97" s="326">
        <f t="shared" si="12"/>
        <v>0</v>
      </c>
      <c r="AU97" s="326"/>
      <c r="AV97" s="326">
        <f t="shared" si="10"/>
        <v>0</v>
      </c>
      <c r="AW97" s="326">
        <f t="shared" si="13"/>
        <v>0</v>
      </c>
      <c r="AX97" s="288">
        <f t="shared" si="14"/>
        <v>0</v>
      </c>
      <c r="AY97" s="327">
        <f t="shared" si="8"/>
        <v>0</v>
      </c>
      <c r="AZ97" s="288">
        <f t="shared" si="11"/>
        <v>0</v>
      </c>
      <c r="BA97" s="288"/>
    </row>
    <row r="98" spans="45:53" s="246" customFormat="1" ht="15" x14ac:dyDescent="0.2">
      <c r="AS98" s="288" t="str">
        <f t="shared" si="9"/>
        <v/>
      </c>
      <c r="AT98" s="326">
        <f t="shared" si="12"/>
        <v>0</v>
      </c>
      <c r="AU98" s="326"/>
      <c r="AV98" s="326">
        <f t="shared" si="10"/>
        <v>0</v>
      </c>
      <c r="AW98" s="326">
        <f t="shared" si="13"/>
        <v>0</v>
      </c>
      <c r="AX98" s="288">
        <f t="shared" si="14"/>
        <v>0</v>
      </c>
      <c r="AY98" s="327">
        <f t="shared" si="8"/>
        <v>0</v>
      </c>
      <c r="AZ98" s="288">
        <f t="shared" si="11"/>
        <v>0</v>
      </c>
      <c r="BA98" s="288"/>
    </row>
    <row r="99" spans="45:53" s="246" customFormat="1" ht="15" x14ac:dyDescent="0.2">
      <c r="AS99" s="288" t="str">
        <f t="shared" si="9"/>
        <v/>
      </c>
      <c r="AT99" s="326">
        <f t="shared" si="12"/>
        <v>0</v>
      </c>
      <c r="AU99" s="326"/>
      <c r="AV99" s="326">
        <f t="shared" si="10"/>
        <v>0</v>
      </c>
      <c r="AW99" s="326">
        <f t="shared" si="13"/>
        <v>0</v>
      </c>
      <c r="AX99" s="288">
        <f t="shared" si="14"/>
        <v>0</v>
      </c>
      <c r="AY99" s="327">
        <f t="shared" si="8"/>
        <v>0</v>
      </c>
      <c r="AZ99" s="288">
        <f t="shared" si="11"/>
        <v>0</v>
      </c>
      <c r="BA99" s="288"/>
    </row>
    <row r="100" spans="45:53" s="246" customFormat="1" ht="15" x14ac:dyDescent="0.2">
      <c r="AS100" s="288" t="str">
        <f t="shared" si="9"/>
        <v/>
      </c>
      <c r="AT100" s="326">
        <f t="shared" si="12"/>
        <v>0</v>
      </c>
      <c r="AU100" s="326"/>
      <c r="AV100" s="326">
        <f t="shared" si="10"/>
        <v>0</v>
      </c>
      <c r="AW100" s="326">
        <f t="shared" si="13"/>
        <v>0</v>
      </c>
      <c r="AX100" s="288">
        <f t="shared" si="14"/>
        <v>0</v>
      </c>
      <c r="AY100" s="327">
        <f t="shared" si="8"/>
        <v>0</v>
      </c>
      <c r="AZ100" s="288">
        <f t="shared" si="11"/>
        <v>0</v>
      </c>
      <c r="BA100" s="288"/>
    </row>
    <row r="101" spans="45:53" s="246" customFormat="1" ht="15" x14ac:dyDescent="0.2">
      <c r="AS101" s="288" t="str">
        <f t="shared" si="9"/>
        <v/>
      </c>
      <c r="AT101" s="326">
        <f t="shared" si="12"/>
        <v>0</v>
      </c>
      <c r="AU101" s="326"/>
      <c r="AV101" s="326">
        <f t="shared" si="10"/>
        <v>0</v>
      </c>
      <c r="AW101" s="326">
        <f t="shared" si="13"/>
        <v>0</v>
      </c>
      <c r="AX101" s="288">
        <f t="shared" si="14"/>
        <v>0</v>
      </c>
      <c r="AY101" s="327">
        <f t="shared" si="8"/>
        <v>0</v>
      </c>
      <c r="AZ101" s="288">
        <f t="shared" si="11"/>
        <v>0</v>
      </c>
      <c r="BA101" s="288"/>
    </row>
    <row r="102" spans="45:53" s="246" customFormat="1" ht="15" x14ac:dyDescent="0.2">
      <c r="AS102" s="288" t="str">
        <f t="shared" si="9"/>
        <v/>
      </c>
      <c r="AT102" s="326">
        <f t="shared" si="12"/>
        <v>0</v>
      </c>
      <c r="AU102" s="326"/>
      <c r="AV102" s="326">
        <f t="shared" si="10"/>
        <v>0</v>
      </c>
      <c r="AW102" s="326">
        <f t="shared" si="13"/>
        <v>0</v>
      </c>
      <c r="AX102" s="288">
        <f t="shared" si="14"/>
        <v>0</v>
      </c>
      <c r="AY102" s="327">
        <f t="shared" si="8"/>
        <v>0</v>
      </c>
      <c r="AZ102" s="288">
        <f t="shared" si="11"/>
        <v>0</v>
      </c>
      <c r="BA102" s="288"/>
    </row>
    <row r="103" spans="45:53" s="246" customFormat="1" ht="15" x14ac:dyDescent="0.2">
      <c r="AS103" s="288" t="str">
        <f t="shared" si="9"/>
        <v/>
      </c>
      <c r="AT103" s="326">
        <f t="shared" si="12"/>
        <v>0</v>
      </c>
      <c r="AU103" s="326"/>
      <c r="AV103" s="326">
        <f t="shared" si="10"/>
        <v>0</v>
      </c>
      <c r="AW103" s="326">
        <f t="shared" si="13"/>
        <v>0</v>
      </c>
      <c r="AX103" s="288">
        <f t="shared" si="14"/>
        <v>0</v>
      </c>
      <c r="AY103" s="327">
        <f t="shared" ref="AY103:AY114" si="15">LN(AX103+$J$37)-LN($J$37)</f>
        <v>0</v>
      </c>
      <c r="AZ103" s="288">
        <f t="shared" si="11"/>
        <v>0</v>
      </c>
      <c r="BA103" s="288"/>
    </row>
    <row r="104" spans="45:53" s="246" customFormat="1" ht="15" x14ac:dyDescent="0.2">
      <c r="AS104" s="288" t="str">
        <f t="shared" si="9"/>
        <v/>
      </c>
      <c r="AT104" s="326">
        <f t="shared" si="12"/>
        <v>0</v>
      </c>
      <c r="AU104" s="326"/>
      <c r="AV104" s="326">
        <f t="shared" si="10"/>
        <v>0</v>
      </c>
      <c r="AW104" s="326">
        <f t="shared" si="13"/>
        <v>0</v>
      </c>
      <c r="AX104" s="288">
        <f t="shared" si="14"/>
        <v>0</v>
      </c>
      <c r="AY104" s="327">
        <f t="shared" si="15"/>
        <v>0</v>
      </c>
      <c r="AZ104" s="288">
        <f t="shared" si="11"/>
        <v>0</v>
      </c>
      <c r="BA104" s="288"/>
    </row>
    <row r="105" spans="45:53" s="246" customFormat="1" ht="15" x14ac:dyDescent="0.2">
      <c r="AS105" s="288" t="str">
        <f t="shared" si="9"/>
        <v/>
      </c>
      <c r="AT105" s="326">
        <f t="shared" si="12"/>
        <v>0</v>
      </c>
      <c r="AU105" s="326"/>
      <c r="AV105" s="326">
        <f t="shared" si="10"/>
        <v>0</v>
      </c>
      <c r="AW105" s="326">
        <f t="shared" si="13"/>
        <v>0</v>
      </c>
      <c r="AX105" s="288">
        <f t="shared" si="14"/>
        <v>0</v>
      </c>
      <c r="AY105" s="327">
        <f t="shared" si="15"/>
        <v>0</v>
      </c>
      <c r="AZ105" s="288">
        <f t="shared" si="11"/>
        <v>0</v>
      </c>
      <c r="BA105" s="288"/>
    </row>
    <row r="106" spans="45:53" s="246" customFormat="1" ht="15" x14ac:dyDescent="0.2">
      <c r="AS106" s="288" t="str">
        <f t="shared" si="9"/>
        <v/>
      </c>
      <c r="AT106" s="326">
        <f t="shared" si="12"/>
        <v>0</v>
      </c>
      <c r="AU106" s="326"/>
      <c r="AV106" s="326">
        <f t="shared" si="10"/>
        <v>0</v>
      </c>
      <c r="AW106" s="326">
        <f t="shared" si="13"/>
        <v>0</v>
      </c>
      <c r="AX106" s="288">
        <f t="shared" si="14"/>
        <v>0</v>
      </c>
      <c r="AY106" s="327">
        <f t="shared" si="15"/>
        <v>0</v>
      </c>
      <c r="AZ106" s="288">
        <f t="shared" si="11"/>
        <v>0</v>
      </c>
      <c r="BA106" s="288"/>
    </row>
    <row r="107" spans="45:53" s="246" customFormat="1" ht="15" x14ac:dyDescent="0.2">
      <c r="AS107" s="288" t="str">
        <f t="shared" si="9"/>
        <v/>
      </c>
      <c r="AT107" s="326">
        <f t="shared" si="12"/>
        <v>0</v>
      </c>
      <c r="AU107" s="326"/>
      <c r="AV107" s="326">
        <f t="shared" si="10"/>
        <v>0</v>
      </c>
      <c r="AW107" s="326">
        <f t="shared" si="13"/>
        <v>0</v>
      </c>
      <c r="AX107" s="288">
        <f t="shared" si="14"/>
        <v>0</v>
      </c>
      <c r="AY107" s="327">
        <f t="shared" si="15"/>
        <v>0</v>
      </c>
      <c r="AZ107" s="288">
        <f t="shared" si="11"/>
        <v>0</v>
      </c>
      <c r="BA107" s="288"/>
    </row>
    <row r="108" spans="45:53" s="246" customFormat="1" ht="15" x14ac:dyDescent="0.2">
      <c r="AS108" s="288" t="str">
        <f t="shared" si="9"/>
        <v/>
      </c>
      <c r="AT108" s="326">
        <f t="shared" si="12"/>
        <v>0</v>
      </c>
      <c r="AU108" s="326"/>
      <c r="AV108" s="326">
        <f t="shared" si="10"/>
        <v>0</v>
      </c>
      <c r="AW108" s="326">
        <f t="shared" si="13"/>
        <v>0</v>
      </c>
      <c r="AX108" s="288">
        <f t="shared" si="14"/>
        <v>0</v>
      </c>
      <c r="AY108" s="327">
        <f t="shared" si="15"/>
        <v>0</v>
      </c>
      <c r="AZ108" s="288">
        <f t="shared" si="11"/>
        <v>0</v>
      </c>
      <c r="BA108" s="288"/>
    </row>
    <row r="109" spans="45:53" s="246" customFormat="1" ht="15" x14ac:dyDescent="0.2">
      <c r="AS109" s="288" t="str">
        <f t="shared" si="9"/>
        <v/>
      </c>
      <c r="AT109" s="326">
        <f t="shared" si="12"/>
        <v>0</v>
      </c>
      <c r="AU109" s="326"/>
      <c r="AV109" s="326">
        <f t="shared" si="10"/>
        <v>0</v>
      </c>
      <c r="AW109" s="326">
        <f t="shared" si="13"/>
        <v>0</v>
      </c>
      <c r="AX109" s="288">
        <f t="shared" si="14"/>
        <v>0</v>
      </c>
      <c r="AY109" s="327">
        <f t="shared" si="15"/>
        <v>0</v>
      </c>
      <c r="AZ109" s="288">
        <f t="shared" si="11"/>
        <v>0</v>
      </c>
      <c r="BA109" s="288"/>
    </row>
    <row r="110" spans="45:53" s="246" customFormat="1" ht="15" x14ac:dyDescent="0.2">
      <c r="AS110" s="288" t="str">
        <f t="shared" si="9"/>
        <v/>
      </c>
      <c r="AT110" s="326">
        <f t="shared" si="12"/>
        <v>0</v>
      </c>
      <c r="AU110" s="326"/>
      <c r="AV110" s="326">
        <f t="shared" si="10"/>
        <v>0</v>
      </c>
      <c r="AW110" s="326">
        <f t="shared" si="13"/>
        <v>0</v>
      </c>
      <c r="AX110" s="288">
        <f t="shared" si="14"/>
        <v>0</v>
      </c>
      <c r="AY110" s="327">
        <f t="shared" si="15"/>
        <v>0</v>
      </c>
      <c r="AZ110" s="288">
        <f t="shared" si="11"/>
        <v>0</v>
      </c>
      <c r="BA110" s="288"/>
    </row>
    <row r="111" spans="45:53" s="246" customFormat="1" ht="15" x14ac:dyDescent="0.2">
      <c r="AS111" s="288" t="str">
        <f t="shared" si="9"/>
        <v/>
      </c>
      <c r="AT111" s="326">
        <f t="shared" si="12"/>
        <v>0</v>
      </c>
      <c r="AU111" s="326"/>
      <c r="AV111" s="326">
        <f t="shared" si="10"/>
        <v>0</v>
      </c>
      <c r="AW111" s="326">
        <f t="shared" si="13"/>
        <v>0</v>
      </c>
      <c r="AX111" s="288">
        <f t="shared" si="14"/>
        <v>0</v>
      </c>
      <c r="AY111" s="327">
        <f t="shared" si="15"/>
        <v>0</v>
      </c>
      <c r="AZ111" s="288">
        <f t="shared" si="11"/>
        <v>0</v>
      </c>
      <c r="BA111" s="288"/>
    </row>
    <row r="112" spans="45:53" s="246" customFormat="1" ht="15" x14ac:dyDescent="0.2">
      <c r="AS112" s="288" t="str">
        <f t="shared" si="9"/>
        <v/>
      </c>
      <c r="AT112" s="326">
        <f t="shared" si="12"/>
        <v>0</v>
      </c>
      <c r="AU112" s="326"/>
      <c r="AV112" s="326">
        <f t="shared" si="10"/>
        <v>0</v>
      </c>
      <c r="AW112" s="326">
        <f t="shared" si="13"/>
        <v>0</v>
      </c>
      <c r="AX112" s="288">
        <f t="shared" si="14"/>
        <v>0</v>
      </c>
      <c r="AY112" s="327">
        <f t="shared" si="15"/>
        <v>0</v>
      </c>
      <c r="AZ112" s="288">
        <f t="shared" si="11"/>
        <v>0</v>
      </c>
      <c r="BA112" s="288"/>
    </row>
    <row r="113" spans="45:53" s="246" customFormat="1" ht="15" x14ac:dyDescent="0.2">
      <c r="AS113" s="288" t="str">
        <f t="shared" si="9"/>
        <v/>
      </c>
      <c r="AT113" s="326">
        <f t="shared" si="12"/>
        <v>0</v>
      </c>
      <c r="AU113" s="326"/>
      <c r="AV113" s="326">
        <f t="shared" si="10"/>
        <v>0</v>
      </c>
      <c r="AW113" s="326">
        <f t="shared" si="13"/>
        <v>0</v>
      </c>
      <c r="AX113" s="288">
        <f t="shared" si="14"/>
        <v>0</v>
      </c>
      <c r="AY113" s="327">
        <f t="shared" si="15"/>
        <v>0</v>
      </c>
      <c r="AZ113" s="288">
        <f t="shared" si="11"/>
        <v>0</v>
      </c>
      <c r="BA113" s="288"/>
    </row>
    <row r="114" spans="45:53" s="246" customFormat="1" ht="15" x14ac:dyDescent="0.2">
      <c r="AS114" s="288" t="str">
        <f t="shared" si="9"/>
        <v/>
      </c>
      <c r="AT114" s="326">
        <f t="shared" si="12"/>
        <v>0</v>
      </c>
      <c r="AU114" s="326"/>
      <c r="AV114" s="326">
        <f t="shared" si="10"/>
        <v>0</v>
      </c>
      <c r="AW114" s="326">
        <f t="shared" si="13"/>
        <v>0</v>
      </c>
      <c r="AX114" s="288">
        <f t="shared" si="14"/>
        <v>0</v>
      </c>
      <c r="AY114" s="327">
        <f t="shared" si="15"/>
        <v>0</v>
      </c>
      <c r="AZ114" s="288">
        <f t="shared" si="11"/>
        <v>0</v>
      </c>
      <c r="BA114" s="288"/>
    </row>
    <row r="115" spans="45:53" s="246" customFormat="1" ht="15" x14ac:dyDescent="0.2">
      <c r="BA115" s="288"/>
    </row>
    <row r="116" spans="45:53" s="246" customFormat="1" ht="15" x14ac:dyDescent="0.2">
      <c r="BA116" s="288"/>
    </row>
    <row r="117" spans="45:53" s="246" customFormat="1" ht="15" x14ac:dyDescent="0.2">
      <c r="BA117" s="288"/>
    </row>
    <row r="118" spans="45:53" s="246" customFormat="1" ht="15" x14ac:dyDescent="0.2">
      <c r="BA118" s="288"/>
    </row>
    <row r="119" spans="45:53" ht="15" x14ac:dyDescent="0.2">
      <c r="BA119" s="232"/>
    </row>
  </sheetData>
  <mergeCells count="68">
    <mergeCell ref="D38:G38"/>
    <mergeCell ref="R38:T38"/>
    <mergeCell ref="T15:U15"/>
    <mergeCell ref="T16:U16"/>
    <mergeCell ref="T17:U17"/>
    <mergeCell ref="T18:U18"/>
    <mergeCell ref="T19:U19"/>
    <mergeCell ref="B23:E26"/>
    <mergeCell ref="F31:F34"/>
    <mergeCell ref="R33:V33"/>
    <mergeCell ref="B36:B38"/>
    <mergeCell ref="D36:F36"/>
    <mergeCell ref="H36:I36"/>
    <mergeCell ref="J36:N36"/>
    <mergeCell ref="O36:P36"/>
    <mergeCell ref="D37:F37"/>
    <mergeCell ref="H37:I37"/>
    <mergeCell ref="Q13:Q14"/>
    <mergeCell ref="T13:U13"/>
    <mergeCell ref="D16:D17"/>
    <mergeCell ref="J37:N37"/>
    <mergeCell ref="O37:P37"/>
    <mergeCell ref="V13:W13"/>
    <mergeCell ref="T14:U14"/>
    <mergeCell ref="V14:W14"/>
    <mergeCell ref="F21:F24"/>
    <mergeCell ref="Q21:Q25"/>
    <mergeCell ref="R21:S22"/>
    <mergeCell ref="U21:W22"/>
    <mergeCell ref="F16:F17"/>
    <mergeCell ref="G16:G17"/>
    <mergeCell ref="L17:M17"/>
    <mergeCell ref="B14:B18"/>
    <mergeCell ref="C14:C15"/>
    <mergeCell ref="D14:D15"/>
    <mergeCell ref="F14:F15"/>
    <mergeCell ref="G14:G15"/>
    <mergeCell ref="C16:C17"/>
    <mergeCell ref="V10:W10"/>
    <mergeCell ref="Z10:AA10"/>
    <mergeCell ref="T12:U12"/>
    <mergeCell ref="V12:W12"/>
    <mergeCell ref="T11:U11"/>
    <mergeCell ref="V11:W11"/>
    <mergeCell ref="AE6:AE7"/>
    <mergeCell ref="B7:B11"/>
    <mergeCell ref="Q8:Q11"/>
    <mergeCell ref="T8:U8"/>
    <mergeCell ref="V8:W8"/>
    <mergeCell ref="C9:D9"/>
    <mergeCell ref="T9:U9"/>
    <mergeCell ref="V9:W9"/>
    <mergeCell ref="Z9:AA9"/>
    <mergeCell ref="T10:U10"/>
    <mergeCell ref="C6:D6"/>
    <mergeCell ref="I6:J6"/>
    <mergeCell ref="L6:M6"/>
    <mergeCell ref="T6:U6"/>
    <mergeCell ref="V6:W6"/>
    <mergeCell ref="AD6:AD7"/>
    <mergeCell ref="S2:T3"/>
    <mergeCell ref="Z2:AB3"/>
    <mergeCell ref="B4:D5"/>
    <mergeCell ref="F4:G5"/>
    <mergeCell ref="T4:U4"/>
    <mergeCell ref="V4:W4"/>
    <mergeCell ref="T5:U5"/>
    <mergeCell ref="V5:W5"/>
  </mergeCells>
  <phoneticPr fontId="49" type="noConversion"/>
  <dataValidations count="3">
    <dataValidation type="list" allowBlank="1" showInputMessage="1" sqref="K15">
      <formula1>$C$28:$G$28</formula1>
    </dataValidation>
    <dataValidation type="list" allowBlank="1" showInputMessage="1" sqref="K14">
      <formula1>$C$21:$G$21</formula1>
    </dataValidation>
    <dataValidation type="list" allowBlank="1" showInputMessage="1" sqref="K9">
      <formula1>$C$30:$G$30</formula1>
    </dataValidation>
  </dataValidations>
  <hyperlinks>
    <hyperlink ref="H38" r:id="rId1" location="Grantstructure"/>
    <hyperlink ref="W38" r:id="rId2"/>
  </hyperlinks>
  <pageMargins left="0.7" right="0.7" top="0.75" bottom="0.75" header="0.3" footer="0.3"/>
  <legacyDrawing r:id="rId3"/>
  <extLst>
    <ext xmlns:x14="http://schemas.microsoft.com/office/spreadsheetml/2009/9/main" uri="{CCE6A557-97BC-4b89-ADB6-D9C93CAAB3DF}">
      <x14:dataValidations xmlns:xm="http://schemas.microsoft.com/office/excel/2006/main" count="36">
        <x14:dataValidation type="list" allowBlank="1" showInputMessage="1">
          <x14:formula1>
            <xm:f>Parameters!$D$51:$H$51</xm:f>
          </x14:formula1>
          <xm:sqref>M18</xm:sqref>
        </x14:dataValidation>
        <x14:dataValidation type="list" allowBlank="1" showInputMessage="1">
          <x14:formula1>
            <xm:f>Parameters!$D$6:$H$6</xm:f>
          </x14:formula1>
          <xm:sqref>G13</xm:sqref>
        </x14:dataValidation>
        <x14:dataValidation type="list" allowBlank="1" showInputMessage="1">
          <x14:formula1>
            <xm:f>Parameters!$D$33:$H$33</xm:f>
          </x14:formula1>
          <xm:sqref>G11</xm:sqref>
        </x14:dataValidation>
        <x14:dataValidation type="list" allowBlank="1" showInputMessage="1">
          <x14:formula1>
            <xm:f>Parameters!$D$57:$H$57</xm:f>
          </x14:formula1>
          <xm:sqref>D16:D17</xm:sqref>
        </x14:dataValidation>
        <x14:dataValidation type="list" allowBlank="1" showInputMessage="1">
          <x14:formula1>
            <xm:f>Parameters!$D$54:$H$54</xm:f>
          </x14:formula1>
          <xm:sqref>D10</xm:sqref>
        </x14:dataValidation>
        <x14:dataValidation type="list" allowBlank="1" showInputMessage="1">
          <x14:formula1>
            <xm:f>Parameters!$D$55:$H$55</xm:f>
          </x14:formula1>
          <xm:sqref>D11</xm:sqref>
        </x14:dataValidation>
        <x14:dataValidation type="list" allowBlank="1" showInputMessage="1">
          <x14:formula1>
            <xm:f>Parameters!$D$56:$H$56</xm:f>
          </x14:formula1>
          <xm:sqref>D14</xm:sqref>
        </x14:dataValidation>
        <x14:dataValidation type="list" allowBlank="1" showInputMessage="1">
          <x14:formula1>
            <xm:f>Parameters!$D$10:$H$10</xm:f>
          </x14:formula1>
          <xm:sqref>G14</xm:sqref>
        </x14:dataValidation>
        <x14:dataValidation type="list" allowBlank="1" showInputMessage="1">
          <x14:formula1>
            <xm:f>Parameters!$D$28:$H$28</xm:f>
          </x14:formula1>
          <xm:sqref>G16</xm:sqref>
        </x14:dataValidation>
        <x14:dataValidation type="list" allowBlank="1" showInputMessage="1">
          <x14:formula1>
            <xm:f>Parameters!$D$22:$H$22</xm:f>
          </x14:formula1>
          <xm:sqref>J14</xm:sqref>
        </x14:dataValidation>
        <x14:dataValidation type="list" allowBlank="1" showInputMessage="1">
          <x14:formula1>
            <xm:f>Parameters!$D$15:$H$15</xm:f>
          </x14:formula1>
          <xm:sqref>J15</xm:sqref>
        </x14:dataValidation>
        <x14:dataValidation type="list" allowBlank="1" showInputMessage="1">
          <x14:formula1>
            <xm:f>Parameters!$D$24:$H$24</xm:f>
          </x14:formula1>
          <xm:sqref>J11</xm:sqref>
        </x14:dataValidation>
        <x14:dataValidation type="list" allowBlank="1" showInputMessage="1">
          <x14:formula1>
            <xm:f>Parameters!$D$25:$H$25</xm:f>
          </x14:formula1>
          <xm:sqref>J9</xm:sqref>
        </x14:dataValidation>
        <x14:dataValidation type="list" allowBlank="1" showInputMessage="1">
          <x14:formula1>
            <xm:f>Parameters!$D$44:$H$44</xm:f>
          </x14:formula1>
          <xm:sqref>M15</xm:sqref>
        </x14:dataValidation>
        <x14:dataValidation type="list" allowBlank="1" showInputMessage="1">
          <x14:formula1>
            <xm:f>Parameters!$D$43:$H$43</xm:f>
          </x14:formula1>
          <xm:sqref>M14</xm:sqref>
        </x14:dataValidation>
        <x14:dataValidation type="list" allowBlank="1" showInputMessage="1">
          <x14:formula1>
            <xm:f>Parameters!$D$42:$H$42</xm:f>
          </x14:formula1>
          <xm:sqref>M13</xm:sqref>
        </x14:dataValidation>
        <x14:dataValidation type="list" allowBlank="1" showInputMessage="1">
          <x14:formula1>
            <xm:f>Parameters!$D$41:$H$41</xm:f>
          </x14:formula1>
          <xm:sqref>M12</xm:sqref>
        </x14:dataValidation>
        <x14:dataValidation type="list" allowBlank="1" showInputMessage="1">
          <x14:formula1>
            <xm:f>Parameters!$D$40:$H$40</xm:f>
          </x14:formula1>
          <xm:sqref>M11</xm:sqref>
        </x14:dataValidation>
        <x14:dataValidation type="list" allowBlank="1" showInputMessage="1">
          <x14:formula1>
            <xm:f>Parameters!$D$39:$H$39</xm:f>
          </x14:formula1>
          <xm:sqref>M10</xm:sqref>
        </x14:dataValidation>
        <x14:dataValidation type="list" allowBlank="1" showInputMessage="1">
          <x14:formula1>
            <xm:f>Parameters!$D$38:$H$38</xm:f>
          </x14:formula1>
          <xm:sqref>M9</xm:sqref>
        </x14:dataValidation>
        <x14:dataValidation type="list" allowBlank="1" showInputMessage="1">
          <x14:formula1>
            <xm:f>Parameters!$D$37:$H$37</xm:f>
          </x14:formula1>
          <xm:sqref>M8</xm:sqref>
        </x14:dataValidation>
        <x14:dataValidation type="list" allowBlank="1" showInputMessage="1">
          <x14:formula1>
            <xm:f>Parameters!$D$36:$H$36</xm:f>
          </x14:formula1>
          <xm:sqref>M7</xm:sqref>
        </x14:dataValidation>
        <x14:dataValidation type="list" allowBlank="1" showInputMessage="1">
          <x14:formula1>
            <xm:f>Parameters!$D$16:$H$16</xm:f>
          </x14:formula1>
          <xm:sqref>J8</xm:sqref>
        </x14:dataValidation>
        <x14:dataValidation type="list" allowBlank="1" showInputMessage="1">
          <x14:formula1>
            <xm:f>Parameters!$E$16:$I$16</xm:f>
          </x14:formula1>
          <xm:sqref>K10</xm:sqref>
        </x14:dataValidation>
        <x14:dataValidation type="list" allowBlank="1" showInputMessage="1">
          <x14:formula1>
            <xm:f>Parameters!$D$23:$H$23</xm:f>
          </x14:formula1>
          <xm:sqref>J7</xm:sqref>
        </x14:dataValidation>
        <x14:dataValidation type="list" allowBlank="1" showInputMessage="1">
          <x14:formula1>
            <xm:f>Parameters!$E$23:$G$23</xm:f>
          </x14:formula1>
          <xm:sqref>K7</xm:sqref>
        </x14:dataValidation>
        <x14:dataValidation type="list" allowBlank="1" showInputMessage="1">
          <x14:formula1>
            <xm:f>Parameters!$D$18:$H$18</xm:f>
          </x14:formula1>
          <xm:sqref>J10</xm:sqref>
        </x14:dataValidation>
        <x14:dataValidation type="list" allowBlank="1" showInputMessage="1">
          <x14:formula1>
            <xm:f>Parameters!$D$21:$H$21</xm:f>
          </x14:formula1>
          <xm:sqref>J16:K16</xm:sqref>
        </x14:dataValidation>
        <x14:dataValidation type="list" allowBlank="1" showInputMessage="1">
          <x14:formula1>
            <xm:f>Parameters!$D$17:$H$17</xm:f>
          </x14:formula1>
          <xm:sqref>J18:K18</xm:sqref>
        </x14:dataValidation>
        <x14:dataValidation type="list" allowBlank="1" showInputMessage="1">
          <x14:formula1>
            <xm:f>Parameters!$D$14:$H$14</xm:f>
          </x14:formula1>
          <xm:sqref>J17:K17</xm:sqref>
        </x14:dataValidation>
        <x14:dataValidation type="list" allowBlank="1" showInputMessage="1">
          <x14:formula1>
            <xm:f>Parameters!$D$4:$H$4</xm:f>
          </x14:formula1>
          <xm:sqref>D7</xm:sqref>
        </x14:dataValidation>
        <x14:dataValidation type="list" allowBlank="1" showInputMessage="1">
          <x14:formula1>
            <xm:f>Parameters!$D$7:$H$7</xm:f>
          </x14:formula1>
          <xm:sqref>G9</xm:sqref>
        </x14:dataValidation>
        <x14:dataValidation type="list" allowBlank="1" showInputMessage="1">
          <x14:formula1>
            <xm:f>Parameters!$D$32:$H$32</xm:f>
          </x14:formula1>
          <xm:sqref>G18</xm:sqref>
        </x14:dataValidation>
        <x14:dataValidation type="list" allowBlank="1" showInputMessage="1">
          <x14:formula1>
            <xm:f>Parameters!$D$8:$H$8</xm:f>
          </x14:formula1>
          <xm:sqref>G8</xm:sqref>
        </x14:dataValidation>
        <x14:dataValidation type="list" allowBlank="1" showInputMessage="1">
          <x14:formula1>
            <xm:f>Parameters!$D$9:$H$9</xm:f>
          </x14:formula1>
          <xm:sqref>G10</xm:sqref>
        </x14:dataValidation>
        <x14:dataValidation type="list" allowBlank="1" showInputMessage="1">
          <x14:formula1>
            <xm:f>Parameters!$D$5:$H$5</xm:f>
          </x14:formula1>
          <xm:sqref>G7</xm:sqref>
        </x14:dataValidation>
      </x14:dataValidations>
    </ext>
  </extLst>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A118"/>
  <sheetViews>
    <sheetView topLeftCell="F11" zoomScale="150" workbookViewId="0"/>
  </sheetViews>
  <sheetFormatPr baseColWidth="10" defaultColWidth="8.83203125" defaultRowHeight="11" x14ac:dyDescent="0.15"/>
  <cols>
    <col min="1" max="1" width="1.5" style="1" customWidth="1"/>
    <col min="2" max="2" width="9.5" style="1" customWidth="1"/>
    <col min="3" max="3" width="14.5" style="1" customWidth="1"/>
    <col min="4" max="4" width="5.83203125" style="1" customWidth="1"/>
    <col min="5" max="5" width="1.83203125" style="1" customWidth="1"/>
    <col min="6" max="6" width="18" style="1" customWidth="1"/>
    <col min="7" max="7" width="13.5" style="1" customWidth="1"/>
    <col min="8" max="8" width="1.5" style="1" customWidth="1"/>
    <col min="9" max="9" width="16.5" style="1" customWidth="1"/>
    <col min="10" max="10" width="8.5" style="1" customWidth="1"/>
    <col min="11" max="11" width="1.5" style="1" customWidth="1"/>
    <col min="12" max="12" width="22.83203125" style="1" customWidth="1"/>
    <col min="13" max="13" width="8.5" style="1" customWidth="1"/>
    <col min="14" max="14" width="0.83203125" style="1" customWidth="1"/>
    <col min="15" max="15" width="2.83203125" style="1" customWidth="1"/>
    <col min="16" max="16" width="2.5" style="1" customWidth="1"/>
    <col min="17" max="17" width="15.5" style="1" customWidth="1"/>
    <col min="18" max="18" width="30.83203125" style="1" customWidth="1"/>
    <col min="19" max="19" width="23.5" style="1" customWidth="1"/>
    <col min="20" max="20" width="1" style="1" customWidth="1"/>
    <col min="21" max="21" width="24.5" style="1" customWidth="1"/>
    <col min="22" max="22" width="10.5" style="1" customWidth="1"/>
    <col min="23" max="23" width="12.5" style="1" customWidth="1"/>
    <col min="24" max="24" width="13.5" style="1" customWidth="1"/>
    <col min="25" max="25" width="12.83203125" style="1" customWidth="1"/>
    <col min="26" max="16384" width="8.83203125" style="1"/>
  </cols>
  <sheetData>
    <row r="1" spans="1:53" ht="6" customHeight="1" thickBot="1" x14ac:dyDescent="0.35">
      <c r="A1" s="50"/>
      <c r="B1" s="14"/>
      <c r="C1" s="14"/>
      <c r="D1" s="14"/>
      <c r="E1" s="14"/>
      <c r="F1" s="14"/>
      <c r="G1" s="14"/>
      <c r="H1" s="14"/>
      <c r="I1" s="14"/>
      <c r="J1" s="14"/>
      <c r="K1" s="14"/>
      <c r="L1" s="14"/>
      <c r="M1" s="14"/>
      <c r="N1" s="14"/>
      <c r="O1" s="14"/>
      <c r="P1" s="14"/>
      <c r="Q1" s="14"/>
      <c r="R1" s="24"/>
      <c r="S1" s="14"/>
      <c r="T1" s="14"/>
      <c r="U1" s="14"/>
      <c r="V1" s="14"/>
      <c r="W1" s="14"/>
      <c r="X1" s="14"/>
      <c r="Y1" s="14"/>
      <c r="Z1" s="14"/>
      <c r="AA1" s="14"/>
      <c r="AB1" s="14"/>
      <c r="AC1" s="14"/>
      <c r="AD1" s="14"/>
      <c r="AE1" s="14"/>
      <c r="AF1" s="14"/>
      <c r="AG1" s="14"/>
      <c r="AH1" s="14"/>
      <c r="AI1" s="14"/>
      <c r="AJ1" s="14"/>
      <c r="AK1" s="14"/>
      <c r="AL1" s="14"/>
      <c r="AM1" s="14"/>
      <c r="AN1" s="14"/>
      <c r="AO1" s="14"/>
      <c r="AP1" s="14"/>
    </row>
    <row r="2" spans="1:53" ht="10.5" customHeight="1" x14ac:dyDescent="0.25">
      <c r="A2" s="14"/>
      <c r="B2" s="14"/>
      <c r="C2" s="160"/>
      <c r="D2" s="17"/>
      <c r="E2" s="17"/>
      <c r="F2" s="17"/>
      <c r="G2" s="17"/>
      <c r="H2" s="17"/>
      <c r="I2" s="17"/>
      <c r="J2" s="50"/>
      <c r="K2" s="50"/>
      <c r="L2" s="50"/>
      <c r="M2" s="50"/>
      <c r="N2" s="14"/>
      <c r="O2" s="14"/>
      <c r="P2" s="14"/>
      <c r="Q2" s="14"/>
      <c r="S2" s="553" t="s">
        <v>409</v>
      </c>
      <c r="T2" s="554"/>
      <c r="U2" s="150"/>
      <c r="V2" s="150"/>
      <c r="W2" s="150"/>
      <c r="X2" s="14"/>
      <c r="Y2" s="14"/>
      <c r="Z2" s="14"/>
      <c r="AA2" s="14"/>
      <c r="AB2" s="14"/>
      <c r="AC2" s="14"/>
      <c r="AD2" s="14"/>
      <c r="AE2" s="14"/>
      <c r="AF2" s="14"/>
      <c r="AG2" s="14"/>
      <c r="AH2" s="14"/>
      <c r="AI2" s="14"/>
      <c r="AJ2" s="14"/>
      <c r="AK2" s="14"/>
      <c r="AL2" s="14"/>
      <c r="AM2" s="14"/>
      <c r="AN2" s="14"/>
      <c r="AO2" s="14"/>
      <c r="AP2" s="14"/>
      <c r="AR2" t="s">
        <v>477</v>
      </c>
      <c r="AS2" t="s">
        <v>478</v>
      </c>
      <c r="AT2" t="s">
        <v>479</v>
      </c>
      <c r="AU2" t="s">
        <v>480</v>
      </c>
      <c r="AV2" t="s">
        <v>481</v>
      </c>
      <c r="AW2" t="s">
        <v>482</v>
      </c>
      <c r="AX2" t="s">
        <v>483</v>
      </c>
      <c r="AY2" t="s">
        <v>432</v>
      </c>
      <c r="AZ2" t="s">
        <v>485</v>
      </c>
    </row>
    <row r="3" spans="1:53" ht="10.5" customHeight="1" thickBot="1" x14ac:dyDescent="0.3">
      <c r="A3" s="14"/>
      <c r="B3" s="160"/>
      <c r="C3" s="160"/>
      <c r="D3" s="17"/>
      <c r="E3" s="17"/>
      <c r="F3" s="17"/>
      <c r="G3" s="17"/>
      <c r="H3" s="17"/>
      <c r="I3" s="17"/>
      <c r="J3" s="50"/>
      <c r="K3" s="50"/>
      <c r="L3" s="50"/>
      <c r="M3" s="50"/>
      <c r="N3" s="14"/>
      <c r="O3" s="14"/>
      <c r="P3" s="14"/>
      <c r="Q3" s="14"/>
      <c r="R3" s="150"/>
      <c r="S3" s="555"/>
      <c r="T3" s="556"/>
      <c r="U3" s="150"/>
      <c r="V3" s="150"/>
      <c r="W3" s="150"/>
      <c r="X3" s="14"/>
      <c r="Y3" s="14"/>
      <c r="Z3" s="14"/>
      <c r="AA3" s="14"/>
      <c r="AB3" s="14"/>
      <c r="AC3" s="14"/>
      <c r="AD3" s="14"/>
      <c r="AE3" s="14"/>
      <c r="AF3" s="14"/>
      <c r="AG3" s="14"/>
      <c r="AH3" s="14"/>
      <c r="AI3" s="14"/>
      <c r="AJ3" s="14"/>
      <c r="AK3" s="14"/>
      <c r="AL3" s="14"/>
      <c r="AM3" s="14"/>
      <c r="AN3" s="14"/>
      <c r="AO3" s="14"/>
      <c r="AP3" s="14"/>
      <c r="AR3"/>
      <c r="AS3"/>
      <c r="AT3"/>
      <c r="AU3"/>
      <c r="AV3"/>
      <c r="AW3"/>
      <c r="AX3"/>
      <c r="AY3"/>
      <c r="AZ3"/>
    </row>
    <row r="4" spans="1:53" ht="40.75" customHeight="1" x14ac:dyDescent="0.2">
      <c r="A4" s="14"/>
      <c r="B4" s="563" t="s">
        <v>365</v>
      </c>
      <c r="C4" s="563"/>
      <c r="D4" s="563"/>
      <c r="E4" s="162"/>
      <c r="F4" s="565" t="s">
        <v>408</v>
      </c>
      <c r="G4" s="566"/>
      <c r="H4" s="17"/>
      <c r="I4" s="14"/>
      <c r="J4" s="14"/>
      <c r="K4" s="14"/>
      <c r="L4" s="14"/>
      <c r="M4" s="14"/>
      <c r="N4" s="67"/>
      <c r="O4" s="67"/>
      <c r="P4" s="67"/>
      <c r="Q4" s="148"/>
      <c r="R4" s="200" t="s">
        <v>393</v>
      </c>
      <c r="S4" s="200" t="s">
        <v>558</v>
      </c>
      <c r="T4" s="569" t="s">
        <v>394</v>
      </c>
      <c r="U4" s="569"/>
      <c r="V4" s="569" t="s">
        <v>395</v>
      </c>
      <c r="W4" s="570"/>
      <c r="X4" s="14"/>
      <c r="Y4" s="14"/>
      <c r="Z4" s="14"/>
      <c r="AA4" s="14"/>
      <c r="AB4" s="14"/>
      <c r="AC4" s="14"/>
      <c r="AD4" s="14"/>
      <c r="AE4" s="14"/>
      <c r="AF4" s="14"/>
      <c r="AG4" s="14"/>
      <c r="AH4" s="14"/>
      <c r="AI4" s="14"/>
      <c r="AJ4" s="14"/>
      <c r="AK4" s="14"/>
      <c r="AL4" s="14"/>
      <c r="AM4" s="14"/>
      <c r="AN4" s="14"/>
      <c r="AO4" s="14"/>
      <c r="AP4" s="14"/>
      <c r="AR4">
        <v>0</v>
      </c>
      <c r="AS4" s="70">
        <f>Q36</f>
        <v>288</v>
      </c>
      <c r="AT4" s="70">
        <f>(1-$D$11)*AS4</f>
        <v>288</v>
      </c>
      <c r="AU4" s="70"/>
      <c r="AV4"/>
      <c r="AW4">
        <f>IF(ISNUMBER(AR5),SUM(AT4:AU4),SUM(AT4:AV4))</f>
        <v>288</v>
      </c>
      <c r="AX4" s="71">
        <f t="shared" ref="AX4:AX30" si="0">LN(AW4+$J$36)-LN($J$36)</f>
        <v>0.69677796237285428</v>
      </c>
      <c r="AY4">
        <f>IF(ISNUMBER(AR4),AX4/(1+$D$7)^AR4,0)</f>
        <v>0.69677796237285428</v>
      </c>
      <c r="AZ4"/>
    </row>
    <row r="5" spans="1:53" ht="10.75" customHeight="1" thickBot="1" x14ac:dyDescent="0.25">
      <c r="A5" s="14"/>
      <c r="B5" s="564"/>
      <c r="C5" s="564"/>
      <c r="D5" s="564"/>
      <c r="E5" s="161"/>
      <c r="F5" s="567"/>
      <c r="G5" s="568"/>
      <c r="H5" s="26"/>
      <c r="I5" s="26"/>
      <c r="J5" s="14"/>
      <c r="K5" s="14"/>
      <c r="L5" s="14"/>
      <c r="M5" s="14"/>
      <c r="N5" s="14"/>
      <c r="O5" s="14"/>
      <c r="P5" s="14"/>
      <c r="Q5" s="201" t="s">
        <v>411</v>
      </c>
      <c r="R5" s="204">
        <f>D36/(1+D7)^10</f>
        <v>0.253</v>
      </c>
      <c r="S5" s="204" t="e">
        <f>R5*(1-1/(1+D7)^G16)/(1-1/(1+D7))</f>
        <v>#DIV/0!</v>
      </c>
      <c r="T5" s="572" t="e">
        <f>S5*G7*G9*G18*G8/G36</f>
        <v>#DIV/0!</v>
      </c>
      <c r="U5" s="572"/>
      <c r="V5" s="572">
        <f>G14*G11</f>
        <v>0</v>
      </c>
      <c r="W5" s="589"/>
      <c r="X5" s="14"/>
      <c r="Y5" s="14"/>
      <c r="Z5" s="14"/>
      <c r="AA5" s="14"/>
      <c r="AB5" s="14"/>
      <c r="AC5" s="14"/>
      <c r="AD5" s="14"/>
      <c r="AE5" s="14"/>
      <c r="AF5" s="14"/>
      <c r="AG5" s="14"/>
      <c r="AH5" s="14"/>
      <c r="AI5" s="14"/>
      <c r="AJ5" s="14"/>
      <c r="AK5" s="14"/>
      <c r="AL5" s="14"/>
      <c r="AM5" s="14"/>
      <c r="AN5" s="14"/>
      <c r="AO5" s="14"/>
      <c r="AP5" s="14"/>
      <c r="AR5" t="str">
        <f t="shared" ref="AR5:AR68" si="1">IF(AR4&lt;$D$14,AR4+1,"")</f>
        <v/>
      </c>
      <c r="AS5" s="70">
        <f>AS4-AT4</f>
        <v>0</v>
      </c>
      <c r="AT5" s="70"/>
      <c r="AU5" s="70">
        <f t="shared" ref="AU5:AU70" si="2">$D$10*AS5</f>
        <v>0</v>
      </c>
      <c r="AV5" s="70">
        <f>AS5</f>
        <v>0</v>
      </c>
      <c r="AW5">
        <f t="shared" ref="AW5:AW14" si="3">IF(ISNUMBER(AR6),SUM(AT5:AU5),SUM(AT5:AV5))</f>
        <v>0</v>
      </c>
      <c r="AX5" s="71">
        <f t="shared" si="0"/>
        <v>0</v>
      </c>
      <c r="AY5">
        <f t="shared" ref="AY5:AY70" si="4">IF(ISNUMBER(AR5),AX5/(1+$D$7)^AR5,0)</f>
        <v>0</v>
      </c>
      <c r="AZ5">
        <f>SUM(AY5:AY113)</f>
        <v>0</v>
      </c>
      <c r="BA5" s="1">
        <f>SUM(AY5:AY23)</f>
        <v>0</v>
      </c>
    </row>
    <row r="6" spans="1:53" ht="15" x14ac:dyDescent="0.2">
      <c r="A6" s="14"/>
      <c r="B6" s="10"/>
      <c r="C6" s="587" t="s">
        <v>540</v>
      </c>
      <c r="D6" s="587"/>
      <c r="E6" s="45"/>
      <c r="F6" s="22" t="s">
        <v>541</v>
      </c>
      <c r="G6" s="23"/>
      <c r="H6" s="46"/>
      <c r="I6" s="587" t="s">
        <v>567</v>
      </c>
      <c r="J6" s="587"/>
      <c r="K6" s="126"/>
      <c r="L6" s="588" t="s">
        <v>390</v>
      </c>
      <c r="M6" s="588"/>
      <c r="N6" s="11"/>
      <c r="O6" s="6"/>
      <c r="P6" s="14"/>
      <c r="Q6" s="201" t="s">
        <v>412</v>
      </c>
      <c r="R6" s="204">
        <f>(M15*M11)/(1+D7)^10</f>
        <v>0</v>
      </c>
      <c r="S6" s="204" t="e">
        <f>R6*(1-1/(1+D7)^G16)/(1-1/(1+D7))</f>
        <v>#DIV/0!</v>
      </c>
      <c r="T6" s="572" t="e">
        <f>S6*M8*M9*M14*(W36/V36)</f>
        <v>#DIV/0!</v>
      </c>
      <c r="U6" s="572"/>
      <c r="V6" s="572">
        <v>0</v>
      </c>
      <c r="W6" s="589"/>
      <c r="X6" s="14"/>
      <c r="Y6" s="14"/>
      <c r="Z6" s="14"/>
      <c r="AA6" s="14"/>
      <c r="AB6" s="14"/>
      <c r="AC6" s="14"/>
      <c r="AD6" s="14"/>
      <c r="AE6" s="14"/>
      <c r="AF6" s="14"/>
      <c r="AG6" s="14"/>
      <c r="AH6" s="14"/>
      <c r="AI6" s="14"/>
      <c r="AJ6" s="14"/>
      <c r="AK6" s="14"/>
      <c r="AL6" s="14"/>
      <c r="AM6" s="14"/>
      <c r="AN6" s="14"/>
      <c r="AO6" s="14"/>
      <c r="AP6" s="14"/>
      <c r="AR6" t="str">
        <f t="shared" si="1"/>
        <v/>
      </c>
      <c r="AS6" s="70">
        <f t="shared" ref="AS6:AS71" si="5">IF(ISNUMBER(AR6),AV5,0)</f>
        <v>0</v>
      </c>
      <c r="AT6" s="70"/>
      <c r="AU6" s="70">
        <f t="shared" si="2"/>
        <v>0</v>
      </c>
      <c r="AV6" s="70">
        <f t="shared" ref="AV6:AV71" si="6">AS6</f>
        <v>0</v>
      </c>
      <c r="AW6">
        <f t="shared" si="3"/>
        <v>0</v>
      </c>
      <c r="AX6" s="71">
        <f t="shared" si="0"/>
        <v>0</v>
      </c>
      <c r="AY6">
        <f t="shared" si="4"/>
        <v>0</v>
      </c>
      <c r="AZ6"/>
    </row>
    <row r="7" spans="1:53" ht="20.5" customHeight="1" x14ac:dyDescent="0.2">
      <c r="A7" s="14"/>
      <c r="B7" s="576" t="s">
        <v>573</v>
      </c>
      <c r="C7" s="111" t="s">
        <v>528</v>
      </c>
      <c r="D7" s="139">
        <f>Model!D7</f>
        <v>0</v>
      </c>
      <c r="E7" s="2"/>
      <c r="F7" s="134" t="s">
        <v>532</v>
      </c>
      <c r="G7" s="135">
        <f>Model!G7</f>
        <v>0</v>
      </c>
      <c r="H7" s="4"/>
      <c r="I7" s="134" t="s">
        <v>536</v>
      </c>
      <c r="J7" s="135">
        <f>Model!J7</f>
        <v>0</v>
      </c>
      <c r="K7" s="127"/>
      <c r="L7" s="134" t="s">
        <v>397</v>
      </c>
      <c r="M7" s="140">
        <f>Model!M7</f>
        <v>0</v>
      </c>
      <c r="N7" s="12"/>
      <c r="O7" s="6"/>
      <c r="P7" s="14"/>
      <c r="Q7" s="15"/>
      <c r="R7" s="6"/>
      <c r="S7" s="6"/>
      <c r="T7" s="6"/>
      <c r="U7" s="131"/>
      <c r="V7" s="6"/>
      <c r="W7" s="12"/>
      <c r="X7" s="14"/>
      <c r="Y7" s="14"/>
      <c r="Z7" s="14"/>
      <c r="AA7" s="14"/>
      <c r="AB7" s="14"/>
      <c r="AC7" s="14"/>
      <c r="AD7" s="14"/>
      <c r="AE7" s="14"/>
      <c r="AF7" s="14"/>
      <c r="AG7" s="14"/>
      <c r="AH7" s="14"/>
      <c r="AI7" s="14"/>
      <c r="AJ7" s="14"/>
      <c r="AK7" s="14"/>
      <c r="AL7" s="14"/>
      <c r="AM7" s="14"/>
      <c r="AN7" s="14"/>
      <c r="AO7" s="14"/>
      <c r="AP7" s="14"/>
      <c r="AR7" t="str">
        <f t="shared" si="1"/>
        <v/>
      </c>
      <c r="AS7" s="70">
        <f>IF(ISNUMBER(AR7),AV6,0)</f>
        <v>0</v>
      </c>
      <c r="AT7" s="70"/>
      <c r="AU7" s="70">
        <f t="shared" si="2"/>
        <v>0</v>
      </c>
      <c r="AV7" s="70">
        <f t="shared" si="6"/>
        <v>0</v>
      </c>
      <c r="AW7">
        <f t="shared" si="3"/>
        <v>0</v>
      </c>
      <c r="AX7" s="71">
        <f t="shared" si="0"/>
        <v>0</v>
      </c>
      <c r="AY7">
        <f t="shared" si="4"/>
        <v>0</v>
      </c>
      <c r="AZ7"/>
    </row>
    <row r="8" spans="1:53" ht="20.5" customHeight="1" x14ac:dyDescent="0.2">
      <c r="A8" s="14"/>
      <c r="B8" s="576"/>
      <c r="C8" s="100"/>
      <c r="D8" s="100"/>
      <c r="E8" s="47"/>
      <c r="F8" s="138" t="s">
        <v>534</v>
      </c>
      <c r="G8" s="13">
        <f>Model!G8</f>
        <v>0</v>
      </c>
      <c r="H8" s="5"/>
      <c r="I8" s="122" t="s">
        <v>537</v>
      </c>
      <c r="J8" s="123">
        <f>Model!J8</f>
        <v>0</v>
      </c>
      <c r="K8" s="128"/>
      <c r="L8" s="122" t="s">
        <v>391</v>
      </c>
      <c r="M8" s="123">
        <f>Model!M8</f>
        <v>0</v>
      </c>
      <c r="N8" s="12"/>
      <c r="O8" s="6"/>
      <c r="P8" s="14"/>
      <c r="Q8" s="577" t="s">
        <v>413</v>
      </c>
      <c r="R8" s="6"/>
      <c r="S8" s="202" t="s">
        <v>559</v>
      </c>
      <c r="T8" s="578" t="s">
        <v>562</v>
      </c>
      <c r="U8" s="578"/>
      <c r="V8" s="212"/>
      <c r="W8" s="12"/>
      <c r="X8" s="14"/>
      <c r="Y8" s="14"/>
      <c r="Z8" s="14"/>
      <c r="AA8" s="14"/>
      <c r="AB8" s="14"/>
      <c r="AC8" s="14"/>
      <c r="AD8" s="14"/>
      <c r="AE8" s="14"/>
      <c r="AF8" s="14"/>
      <c r="AG8" s="14"/>
      <c r="AH8" s="14"/>
      <c r="AI8" s="14"/>
      <c r="AJ8" s="14"/>
      <c r="AK8" s="14"/>
      <c r="AL8" s="14"/>
      <c r="AM8" s="14"/>
      <c r="AN8" s="14"/>
      <c r="AO8" s="14"/>
      <c r="AP8" s="14"/>
      <c r="AR8" t="str">
        <f t="shared" si="1"/>
        <v/>
      </c>
      <c r="AS8" s="70">
        <f t="shared" si="5"/>
        <v>0</v>
      </c>
      <c r="AT8" s="70"/>
      <c r="AU8" s="70">
        <f t="shared" si="2"/>
        <v>0</v>
      </c>
      <c r="AV8" s="70">
        <f t="shared" si="6"/>
        <v>0</v>
      </c>
      <c r="AW8">
        <f t="shared" si="3"/>
        <v>0</v>
      </c>
      <c r="AX8" s="71">
        <f t="shared" si="0"/>
        <v>0</v>
      </c>
      <c r="AY8">
        <f t="shared" si="4"/>
        <v>0</v>
      </c>
      <c r="AZ8"/>
    </row>
    <row r="9" spans="1:53" ht="33" x14ac:dyDescent="0.2">
      <c r="A9" s="14"/>
      <c r="B9" s="576"/>
      <c r="C9" s="581" t="s">
        <v>542</v>
      </c>
      <c r="D9" s="581"/>
      <c r="E9" s="2"/>
      <c r="F9" s="122" t="s">
        <v>440</v>
      </c>
      <c r="G9" s="123">
        <f>Model!G9</f>
        <v>0</v>
      </c>
      <c r="H9" s="5"/>
      <c r="I9" s="122" t="s">
        <v>386</v>
      </c>
      <c r="J9" s="123">
        <f>Model!J9</f>
        <v>0</v>
      </c>
      <c r="K9" s="128"/>
      <c r="L9" s="122" t="s">
        <v>392</v>
      </c>
      <c r="M9" s="123">
        <f>Model!M9</f>
        <v>0</v>
      </c>
      <c r="N9" s="12"/>
      <c r="O9" s="6"/>
      <c r="P9" s="14"/>
      <c r="Q9" s="577"/>
      <c r="R9" s="21" t="s">
        <v>572</v>
      </c>
      <c r="S9" s="98" t="e">
        <f>($V$5+$T$5*J14)*J7*J11</f>
        <v>#DIV/0!</v>
      </c>
      <c r="T9" s="687" t="e">
        <f>J12*S9/(J16/J9)</f>
        <v>#DIV/0!</v>
      </c>
      <c r="U9" s="582"/>
      <c r="V9" s="76"/>
      <c r="W9" s="12"/>
      <c r="X9" s="14"/>
      <c r="Y9" s="14"/>
      <c r="Z9" s="14"/>
      <c r="AA9" s="14"/>
      <c r="AB9" s="14"/>
      <c r="AC9" s="14"/>
      <c r="AD9" s="14"/>
      <c r="AE9" s="14"/>
      <c r="AF9" s="14"/>
      <c r="AG9" s="14"/>
      <c r="AH9" s="14"/>
      <c r="AI9" s="14"/>
      <c r="AJ9" s="14"/>
      <c r="AK9" s="14"/>
      <c r="AL9" s="14"/>
      <c r="AM9" s="14"/>
      <c r="AN9" s="14"/>
      <c r="AO9" s="14"/>
      <c r="AP9" s="14"/>
      <c r="AR9" t="str">
        <f t="shared" si="1"/>
        <v/>
      </c>
      <c r="AS9" s="70">
        <f t="shared" si="5"/>
        <v>0</v>
      </c>
      <c r="AT9" s="70"/>
      <c r="AU9" s="70">
        <f t="shared" si="2"/>
        <v>0</v>
      </c>
      <c r="AV9" s="70">
        <f t="shared" si="6"/>
        <v>0</v>
      </c>
      <c r="AW9">
        <f>IF(ISNUMBER(AR10),SUM(AT9:AU9),SUM(AT9:AV9))</f>
        <v>0</v>
      </c>
      <c r="AX9" s="71">
        <f t="shared" si="0"/>
        <v>0</v>
      </c>
      <c r="AY9">
        <f t="shared" si="4"/>
        <v>0</v>
      </c>
      <c r="AZ9"/>
    </row>
    <row r="10" spans="1:53" ht="26.5" customHeight="1" x14ac:dyDescent="0.2">
      <c r="A10" s="14"/>
      <c r="B10" s="576"/>
      <c r="C10" s="94" t="s">
        <v>531</v>
      </c>
      <c r="D10" s="95">
        <f>Model!D10</f>
        <v>0</v>
      </c>
      <c r="E10" s="85"/>
      <c r="F10" s="99" t="s">
        <v>439</v>
      </c>
      <c r="G10" s="112">
        <f>Model!G10</f>
        <v>0</v>
      </c>
      <c r="H10" s="86"/>
      <c r="I10" s="122" t="s">
        <v>387</v>
      </c>
      <c r="J10" s="123">
        <f>Model!J10</f>
        <v>0</v>
      </c>
      <c r="K10" s="128"/>
      <c r="L10" s="122" t="s">
        <v>406</v>
      </c>
      <c r="M10" s="123">
        <f>Model!M10</f>
        <v>0</v>
      </c>
      <c r="N10" s="12"/>
      <c r="O10" s="6"/>
      <c r="P10" s="14"/>
      <c r="Q10" s="577"/>
      <c r="R10" s="253" t="s">
        <v>14</v>
      </c>
      <c r="S10" s="205" t="e">
        <f>($V$5+$T$5*J15)*J8*J18</f>
        <v>#DIV/0!</v>
      </c>
      <c r="T10" s="582" t="e">
        <f>S10/(J17/J10)</f>
        <v>#DIV/0!</v>
      </c>
      <c r="U10" s="582"/>
      <c r="V10" s="76"/>
      <c r="W10" s="12"/>
      <c r="X10" s="14"/>
      <c r="Y10" s="14"/>
      <c r="Z10" s="14"/>
      <c r="AA10" s="14"/>
      <c r="AB10" s="14"/>
      <c r="AC10" s="14"/>
      <c r="AD10" s="14"/>
      <c r="AE10" s="14"/>
      <c r="AF10" s="14"/>
      <c r="AG10" s="14"/>
      <c r="AH10" s="14"/>
      <c r="AI10" s="14"/>
      <c r="AJ10" s="14"/>
      <c r="AK10" s="14"/>
      <c r="AL10" s="14"/>
      <c r="AM10" s="14"/>
      <c r="AN10" s="14"/>
      <c r="AO10" s="14"/>
      <c r="AP10" s="14"/>
      <c r="AR10" t="str">
        <f t="shared" si="1"/>
        <v/>
      </c>
      <c r="AS10" s="70">
        <f>IF(ISNUMBER(AR10),AV9,0)</f>
        <v>0</v>
      </c>
      <c r="AT10" s="70"/>
      <c r="AU10" s="70">
        <f t="shared" si="2"/>
        <v>0</v>
      </c>
      <c r="AV10" s="70">
        <f t="shared" si="6"/>
        <v>0</v>
      </c>
      <c r="AW10">
        <f>IF(ISNUMBER(AR11),SUM(AT10:AU10),SUM(AT10:AV10))</f>
        <v>0</v>
      </c>
      <c r="AX10" s="71">
        <f t="shared" si="0"/>
        <v>0</v>
      </c>
      <c r="AY10">
        <f t="shared" si="4"/>
        <v>0</v>
      </c>
      <c r="AZ10"/>
    </row>
    <row r="11" spans="1:53" ht="33" customHeight="1" x14ac:dyDescent="0.2">
      <c r="A11" s="14"/>
      <c r="B11" s="576"/>
      <c r="C11" s="107" t="s">
        <v>533</v>
      </c>
      <c r="D11" s="108">
        <f>Model!D11</f>
        <v>0</v>
      </c>
      <c r="E11" s="3"/>
      <c r="F11" s="122" t="s">
        <v>231</v>
      </c>
      <c r="G11" s="213">
        <f>Model!G11</f>
        <v>0</v>
      </c>
      <c r="H11" s="6"/>
      <c r="I11" s="122" t="s">
        <v>457</v>
      </c>
      <c r="J11" s="123">
        <f>Model!J11</f>
        <v>0</v>
      </c>
      <c r="K11" s="128"/>
      <c r="L11" s="122" t="s">
        <v>405</v>
      </c>
      <c r="M11" s="123">
        <f>Model!M11</f>
        <v>0</v>
      </c>
      <c r="N11" s="12"/>
      <c r="O11" s="14"/>
      <c r="P11" s="14"/>
      <c r="Q11" s="577"/>
      <c r="R11" s="21" t="s">
        <v>396</v>
      </c>
      <c r="S11" s="205" t="e">
        <f>T6*M12</f>
        <v>#DIV/0!</v>
      </c>
      <c r="T11" s="687" t="e">
        <f>M13*S11/(M7/M10)</f>
        <v>#DIV/0!</v>
      </c>
      <c r="U11" s="582"/>
      <c r="V11" s="76"/>
      <c r="W11" s="12"/>
      <c r="X11" s="14"/>
      <c r="Y11" s="14"/>
      <c r="Z11" s="14"/>
      <c r="AA11" s="14"/>
      <c r="AB11" s="14"/>
      <c r="AC11" s="14"/>
      <c r="AD11" s="14"/>
      <c r="AE11" s="14"/>
      <c r="AF11" s="14"/>
      <c r="AG11" s="14"/>
      <c r="AH11" s="14"/>
      <c r="AI11" s="14"/>
      <c r="AJ11" s="14"/>
      <c r="AK11" s="14"/>
      <c r="AL11" s="14"/>
      <c r="AM11" s="14"/>
      <c r="AN11" s="14"/>
      <c r="AO11" s="14"/>
      <c r="AP11" s="14"/>
      <c r="AR11" t="str">
        <f t="shared" si="1"/>
        <v/>
      </c>
      <c r="AS11" s="70">
        <f>IF(ISNUMBER(AR11),AV10,0)</f>
        <v>0</v>
      </c>
      <c r="AT11" s="70"/>
      <c r="AU11" s="70">
        <f t="shared" si="2"/>
        <v>0</v>
      </c>
      <c r="AV11" s="70">
        <f t="shared" si="6"/>
        <v>0</v>
      </c>
      <c r="AW11">
        <f>IF(ISNUMBER(AR12),SUM(AT11:AU11),SUM(AT11:AV11))</f>
        <v>0</v>
      </c>
      <c r="AX11" s="71">
        <f t="shared" si="0"/>
        <v>0</v>
      </c>
      <c r="AY11">
        <f t="shared" si="4"/>
        <v>0</v>
      </c>
      <c r="AZ11"/>
    </row>
    <row r="12" spans="1:53" ht="24" customHeight="1" x14ac:dyDescent="0.2">
      <c r="A12" s="14"/>
      <c r="B12" s="15"/>
      <c r="C12" s="9"/>
      <c r="D12" s="8"/>
      <c r="E12" s="2"/>
      <c r="F12" s="48"/>
      <c r="G12" s="49"/>
      <c r="H12" s="9"/>
      <c r="I12" s="122" t="s">
        <v>339</v>
      </c>
      <c r="J12" s="123">
        <f>Model!J12</f>
        <v>0</v>
      </c>
      <c r="K12" s="6"/>
      <c r="L12" s="122" t="s">
        <v>399</v>
      </c>
      <c r="M12" s="123">
        <f>Model!M12</f>
        <v>0</v>
      </c>
      <c r="N12" s="12"/>
      <c r="O12" s="6"/>
      <c r="P12" s="14"/>
      <c r="Q12" s="96"/>
      <c r="R12" s="21"/>
      <c r="S12" s="97"/>
      <c r="T12" s="76"/>
      <c r="U12" s="76"/>
      <c r="V12" s="76"/>
      <c r="W12" s="12"/>
      <c r="X12" s="14"/>
      <c r="Y12" s="14"/>
      <c r="Z12" s="14"/>
      <c r="AA12" s="14"/>
      <c r="AB12" s="14"/>
      <c r="AC12" s="14"/>
      <c r="AD12" s="14"/>
      <c r="AE12" s="14"/>
      <c r="AF12" s="14"/>
      <c r="AG12" s="14"/>
      <c r="AH12" s="14"/>
      <c r="AI12" s="14"/>
      <c r="AJ12" s="14"/>
      <c r="AK12" s="14"/>
      <c r="AL12" s="14"/>
      <c r="AM12" s="14"/>
      <c r="AN12" s="14"/>
      <c r="AO12" s="14"/>
      <c r="AP12" s="14"/>
      <c r="AR12" t="str">
        <f t="shared" si="1"/>
        <v/>
      </c>
      <c r="AS12" s="70">
        <f>IF(ISNUMBER(AR12),AV11,0)</f>
        <v>0</v>
      </c>
      <c r="AT12" s="70"/>
      <c r="AU12" s="70">
        <f t="shared" si="2"/>
        <v>0</v>
      </c>
      <c r="AV12" s="70">
        <f t="shared" si="6"/>
        <v>0</v>
      </c>
      <c r="AW12">
        <f>IF(ISNUMBER(AR13),SUM(AT12:AU12),SUM(AT12:AV12))</f>
        <v>0</v>
      </c>
      <c r="AX12" s="71">
        <f t="shared" si="0"/>
        <v>0</v>
      </c>
      <c r="AY12">
        <f t="shared" si="4"/>
        <v>0</v>
      </c>
      <c r="AZ12"/>
    </row>
    <row r="13" spans="1:53" ht="24" customHeight="1" x14ac:dyDescent="0.2">
      <c r="A13" s="14"/>
      <c r="B13" s="15"/>
      <c r="C13" s="9"/>
      <c r="D13" s="8"/>
      <c r="E13" s="2"/>
      <c r="F13" s="48"/>
      <c r="G13" s="49"/>
      <c r="H13" s="6"/>
      <c r="I13" s="9"/>
      <c r="J13" s="8"/>
      <c r="K13" s="6"/>
      <c r="L13" s="122" t="s">
        <v>398</v>
      </c>
      <c r="M13" s="123">
        <f>Model!M13</f>
        <v>0</v>
      </c>
      <c r="N13" s="12"/>
      <c r="O13" s="6"/>
      <c r="P13" s="14"/>
      <c r="Q13" s="577" t="s">
        <v>414</v>
      </c>
      <c r="R13" s="44"/>
      <c r="S13" s="202" t="s">
        <v>436</v>
      </c>
      <c r="T13" s="578" t="s">
        <v>437</v>
      </c>
      <c r="U13" s="578"/>
      <c r="V13" s="202" t="s">
        <v>438</v>
      </c>
      <c r="W13" s="203" t="s">
        <v>446</v>
      </c>
      <c r="X13" s="14"/>
      <c r="Y13" s="14"/>
      <c r="Z13" s="14"/>
      <c r="AA13" s="14"/>
      <c r="AB13" s="14"/>
      <c r="AC13" s="14"/>
      <c r="AD13" s="14"/>
      <c r="AE13" s="14"/>
      <c r="AF13" s="14"/>
      <c r="AG13" s="14"/>
      <c r="AH13" s="14"/>
      <c r="AI13" s="14"/>
      <c r="AJ13" s="14"/>
      <c r="AK13" s="14"/>
      <c r="AL13" s="14"/>
      <c r="AM13" s="14"/>
      <c r="AN13" s="14"/>
      <c r="AO13" s="14"/>
      <c r="AP13" s="14"/>
      <c r="AR13" t="str">
        <f t="shared" si="1"/>
        <v/>
      </c>
      <c r="AS13" s="70">
        <f>IF(ISNUMBER(AR13),AV12,0)</f>
        <v>0</v>
      </c>
      <c r="AT13" s="70"/>
      <c r="AU13" s="70">
        <f t="shared" si="2"/>
        <v>0</v>
      </c>
      <c r="AV13" s="70">
        <f t="shared" si="6"/>
        <v>0</v>
      </c>
      <c r="AW13">
        <f t="shared" si="3"/>
        <v>0</v>
      </c>
      <c r="AX13" s="71">
        <f t="shared" si="0"/>
        <v>0</v>
      </c>
      <c r="AY13">
        <f t="shared" si="4"/>
        <v>0</v>
      </c>
      <c r="AZ13"/>
    </row>
    <row r="14" spans="1:53" ht="21" customHeight="1" x14ac:dyDescent="0.2">
      <c r="A14" s="14"/>
      <c r="B14" s="597" t="s">
        <v>366</v>
      </c>
      <c r="C14" s="598" t="s">
        <v>529</v>
      </c>
      <c r="D14" s="600">
        <f>Model!D14</f>
        <v>0</v>
      </c>
      <c r="E14" s="3"/>
      <c r="F14" s="598" t="s">
        <v>530</v>
      </c>
      <c r="G14" s="600">
        <f>Model!G14</f>
        <v>0</v>
      </c>
      <c r="H14" s="6"/>
      <c r="I14" s="101" t="s">
        <v>539</v>
      </c>
      <c r="J14" s="102">
        <f>Model!J14</f>
        <v>0</v>
      </c>
      <c r="K14" s="129"/>
      <c r="L14" s="122" t="s">
        <v>400</v>
      </c>
      <c r="M14" s="123">
        <f>Model!M14</f>
        <v>0</v>
      </c>
      <c r="N14" s="12"/>
      <c r="O14" s="6"/>
      <c r="P14" s="14"/>
      <c r="Q14" s="577"/>
      <c r="R14" s="21" t="s">
        <v>572</v>
      </c>
      <c r="S14" s="205" t="e">
        <f>(1000/(J16/J9))*J14*J11*G9*J12*G10*G7*J7*G8*G18*(1/G36)</f>
        <v>#DIV/0!</v>
      </c>
      <c r="T14" s="688" t="e">
        <f>(((1000/(J16/J9))*G14)/U36)*J7*J11</f>
        <v>#DIV/0!</v>
      </c>
      <c r="U14" s="688"/>
      <c r="V14" s="205" t="e">
        <f>S14+T14</f>
        <v>#DIV/0!</v>
      </c>
      <c r="W14" s="149" t="e">
        <f>1000/V14</f>
        <v>#DIV/0!</v>
      </c>
      <c r="X14" s="14"/>
      <c r="Y14" s="14"/>
      <c r="Z14" s="14"/>
      <c r="AA14" s="14"/>
      <c r="AB14" s="14"/>
      <c r="AC14" s="14"/>
      <c r="AD14" s="14"/>
      <c r="AE14" s="14"/>
      <c r="AF14" s="14"/>
      <c r="AG14" s="14"/>
      <c r="AH14" s="14"/>
      <c r="AI14" s="14"/>
      <c r="AJ14" s="14"/>
      <c r="AK14" s="14"/>
      <c r="AL14" s="14"/>
      <c r="AM14" s="14"/>
      <c r="AN14" s="14"/>
      <c r="AO14" s="14"/>
      <c r="AP14" s="14"/>
      <c r="AR14" t="str">
        <f t="shared" si="1"/>
        <v/>
      </c>
      <c r="AS14" s="70">
        <f t="shared" si="5"/>
        <v>0</v>
      </c>
      <c r="AT14" s="70"/>
      <c r="AU14" s="70">
        <f t="shared" si="2"/>
        <v>0</v>
      </c>
      <c r="AV14" s="70">
        <f t="shared" si="6"/>
        <v>0</v>
      </c>
      <c r="AW14">
        <f t="shared" si="3"/>
        <v>0</v>
      </c>
      <c r="AX14" s="71">
        <f t="shared" si="0"/>
        <v>0</v>
      </c>
      <c r="AY14">
        <f t="shared" si="4"/>
        <v>0</v>
      </c>
      <c r="AZ14"/>
    </row>
    <row r="15" spans="1:53" ht="21" customHeight="1" x14ac:dyDescent="0.2">
      <c r="A15" s="14"/>
      <c r="B15" s="597"/>
      <c r="C15" s="599"/>
      <c r="D15" s="600">
        <f>Model!D15</f>
        <v>0</v>
      </c>
      <c r="E15" s="3"/>
      <c r="F15" s="599"/>
      <c r="G15" s="601">
        <f>Model!G15</f>
        <v>0</v>
      </c>
      <c r="H15" s="6"/>
      <c r="I15" s="109" t="s">
        <v>538</v>
      </c>
      <c r="J15" s="110">
        <f>Model!J15</f>
        <v>0</v>
      </c>
      <c r="K15" s="129"/>
      <c r="L15" s="136" t="s">
        <v>403</v>
      </c>
      <c r="M15" s="137">
        <f>Model!M15</f>
        <v>0</v>
      </c>
      <c r="N15" s="12"/>
      <c r="O15" s="6"/>
      <c r="P15" s="14"/>
      <c r="Q15" s="577"/>
      <c r="R15" s="21" t="s">
        <v>571</v>
      </c>
      <c r="S15" s="211" t="e">
        <f>(1000/(J17/J10))*J15*J8*G10*G7*G8*J18*G9*G18*(1/G36)</f>
        <v>#DIV/0!</v>
      </c>
      <c r="T15" s="689" t="e">
        <f>(((1000/(J17/J10))*G14)/U36)*J18*J8</f>
        <v>#DIV/0!</v>
      </c>
      <c r="U15" s="689"/>
      <c r="V15" s="205" t="e">
        <f>S15+T15</f>
        <v>#DIV/0!</v>
      </c>
      <c r="W15" s="149" t="e">
        <f>1000/V15</f>
        <v>#DIV/0!</v>
      </c>
      <c r="X15" s="14"/>
      <c r="Y15" s="14"/>
      <c r="Z15" s="14"/>
      <c r="AA15" s="14"/>
      <c r="AB15" s="14"/>
      <c r="AC15" s="14"/>
      <c r="AD15" s="14"/>
      <c r="AE15" s="14"/>
      <c r="AF15" s="14"/>
      <c r="AG15" s="14"/>
      <c r="AH15" s="14"/>
      <c r="AI15" s="14"/>
      <c r="AJ15" s="14"/>
      <c r="AK15" s="14"/>
      <c r="AL15" s="14"/>
      <c r="AM15" s="14"/>
      <c r="AN15" s="14"/>
      <c r="AO15" s="14"/>
      <c r="AP15" s="14"/>
      <c r="AR15" t="str">
        <f t="shared" si="1"/>
        <v/>
      </c>
      <c r="AS15" s="70">
        <f t="shared" si="5"/>
        <v>0</v>
      </c>
      <c r="AT15" s="70"/>
      <c r="AU15" s="70">
        <f t="shared" si="2"/>
        <v>0</v>
      </c>
      <c r="AV15" s="70">
        <f t="shared" si="6"/>
        <v>0</v>
      </c>
      <c r="AW15">
        <f>IF(ISNUMBER(AR16),SUM(AT15:AU15),SUM(AT15:AV15))</f>
        <v>0</v>
      </c>
      <c r="AX15" s="71">
        <f t="shared" si="0"/>
        <v>0</v>
      </c>
      <c r="AY15">
        <f t="shared" si="4"/>
        <v>0</v>
      </c>
      <c r="AZ15"/>
    </row>
    <row r="16" spans="1:53" ht="21" customHeight="1" x14ac:dyDescent="0.2">
      <c r="A16" s="14"/>
      <c r="B16" s="597"/>
      <c r="C16" s="606" t="s">
        <v>547</v>
      </c>
      <c r="D16" s="608">
        <f>Model!D16</f>
        <v>0</v>
      </c>
      <c r="E16" s="3"/>
      <c r="F16" s="606" t="s">
        <v>345</v>
      </c>
      <c r="G16" s="610">
        <f>Model!G16</f>
        <v>0</v>
      </c>
      <c r="H16" s="6"/>
      <c r="I16" s="105" t="s">
        <v>556</v>
      </c>
      <c r="J16" s="103">
        <f>Model!J16</f>
        <v>0</v>
      </c>
      <c r="K16" s="130"/>
      <c r="L16" s="6"/>
      <c r="M16" s="6"/>
      <c r="N16" s="12"/>
      <c r="O16" s="6"/>
      <c r="P16" s="14"/>
      <c r="Q16" s="577"/>
      <c r="R16" s="21" t="s">
        <v>390</v>
      </c>
      <c r="S16" s="690" t="e">
        <f>(1000/(M7/M10))*M9*M8*(1/V36)*W36*M12*M14*M11*(M15/D36)*M13*G10</f>
        <v>#DIV/0!</v>
      </c>
      <c r="T16" s="690"/>
      <c r="U16" s="206">
        <v>0</v>
      </c>
      <c r="V16" s="205" t="e">
        <f>S16+U16</f>
        <v>#DIV/0!</v>
      </c>
      <c r="W16" s="149" t="e">
        <f>1000/V16</f>
        <v>#DIV/0!</v>
      </c>
      <c r="X16" s="14"/>
      <c r="Y16" s="14"/>
      <c r="Z16" s="14"/>
      <c r="AA16" s="14"/>
      <c r="AB16" s="14"/>
      <c r="AC16" s="14"/>
      <c r="AD16" s="14"/>
      <c r="AE16" s="14"/>
      <c r="AF16" s="14"/>
      <c r="AG16" s="14"/>
      <c r="AH16" s="14"/>
      <c r="AI16" s="14"/>
      <c r="AJ16" s="14"/>
      <c r="AK16" s="14"/>
      <c r="AL16" s="14"/>
      <c r="AM16" s="14"/>
      <c r="AN16" s="14"/>
      <c r="AO16" s="14"/>
      <c r="AP16" s="14"/>
      <c r="AR16" t="str">
        <f t="shared" si="1"/>
        <v/>
      </c>
      <c r="AS16" s="70">
        <f t="shared" si="5"/>
        <v>0</v>
      </c>
      <c r="AT16" s="70"/>
      <c r="AU16" s="70">
        <f t="shared" si="2"/>
        <v>0</v>
      </c>
      <c r="AV16" s="70">
        <f t="shared" si="6"/>
        <v>0</v>
      </c>
      <c r="AW16">
        <f t="shared" ref="AW16:AW80" si="7">IF(ISNUMBER(AR17),SUM(AT16:AU16),SUM(AT16:AV16))</f>
        <v>0</v>
      </c>
      <c r="AX16" s="71">
        <f t="shared" si="0"/>
        <v>0</v>
      </c>
      <c r="AY16">
        <f t="shared" si="4"/>
        <v>0</v>
      </c>
      <c r="AZ16"/>
    </row>
    <row r="17" spans="1:53" ht="31.75" customHeight="1" x14ac:dyDescent="0.2">
      <c r="A17" s="14"/>
      <c r="B17" s="597"/>
      <c r="C17" s="607"/>
      <c r="D17" s="609">
        <f>Model!D17</f>
        <v>0</v>
      </c>
      <c r="E17" s="3"/>
      <c r="F17" s="599"/>
      <c r="G17" s="611">
        <f>Model!G17</f>
        <v>0</v>
      </c>
      <c r="H17" s="6"/>
      <c r="I17" s="106" t="s">
        <v>535</v>
      </c>
      <c r="J17" s="104">
        <f>Model!J17</f>
        <v>0</v>
      </c>
      <c r="K17" s="130"/>
      <c r="L17" s="14"/>
      <c r="M17" s="14"/>
      <c r="N17" s="12"/>
      <c r="O17" s="6"/>
      <c r="P17" s="14"/>
      <c r="Q17" s="15"/>
      <c r="R17" s="6"/>
      <c r="S17" s="6"/>
      <c r="T17" s="6"/>
      <c r="U17" s="6"/>
      <c r="V17" s="6"/>
      <c r="W17" s="12"/>
      <c r="X17" s="14"/>
      <c r="Y17" s="14"/>
      <c r="Z17" s="14"/>
      <c r="AA17" s="14"/>
      <c r="AB17" s="14"/>
      <c r="AC17" s="14"/>
      <c r="AD17" s="14"/>
      <c r="AE17" s="14"/>
      <c r="AF17" s="14"/>
      <c r="AG17" s="14"/>
      <c r="AH17" s="14"/>
      <c r="AI17" s="14"/>
      <c r="AJ17" s="14"/>
      <c r="AK17" s="14"/>
      <c r="AL17" s="14"/>
      <c r="AM17" s="14"/>
      <c r="AN17" s="14"/>
      <c r="AO17" s="14"/>
      <c r="AP17" s="14"/>
      <c r="AR17" t="str">
        <f>IF(AR16&lt;$D$14,AR16+1,"")</f>
        <v/>
      </c>
      <c r="AS17" s="70">
        <f>IF(ISNUMBER(AR17),AV16,0)</f>
        <v>0</v>
      </c>
      <c r="AT17" s="70"/>
      <c r="AU17" s="70">
        <f t="shared" si="2"/>
        <v>0</v>
      </c>
      <c r="AV17" s="70">
        <f t="shared" si="6"/>
        <v>0</v>
      </c>
      <c r="AW17">
        <f>IF(ISNUMBER(AR18),SUM(AT17:AU17),SUM(AT17:AV17))</f>
        <v>0</v>
      </c>
      <c r="AX17" s="71">
        <f t="shared" si="0"/>
        <v>0</v>
      </c>
      <c r="AY17">
        <f t="shared" si="4"/>
        <v>0</v>
      </c>
      <c r="AZ17"/>
    </row>
    <row r="18" spans="1:53" ht="30.75" customHeight="1" x14ac:dyDescent="0.2">
      <c r="A18" s="14"/>
      <c r="B18" s="597"/>
      <c r="C18" s="6"/>
      <c r="D18" s="6"/>
      <c r="E18" s="3"/>
      <c r="F18" s="121" t="s">
        <v>372</v>
      </c>
      <c r="G18" s="119">
        <f>Model!G18</f>
        <v>0</v>
      </c>
      <c r="H18" s="6"/>
      <c r="I18" s="118" t="s">
        <v>475</v>
      </c>
      <c r="J18" s="117">
        <f>Model!J18</f>
        <v>0</v>
      </c>
      <c r="K18" s="129"/>
      <c r="L18" s="14"/>
      <c r="M18" s="14"/>
      <c r="N18" s="12"/>
      <c r="O18" s="6"/>
      <c r="P18" s="6"/>
      <c r="Q18" s="577" t="s">
        <v>415</v>
      </c>
      <c r="R18" s="202" t="s">
        <v>442</v>
      </c>
      <c r="S18" s="202" t="s">
        <v>563</v>
      </c>
      <c r="T18" s="578" t="s">
        <v>564</v>
      </c>
      <c r="U18" s="578"/>
      <c r="V18" s="578" t="s">
        <v>562</v>
      </c>
      <c r="W18" s="662"/>
      <c r="X18" s="14"/>
      <c r="Y18" s="14"/>
      <c r="Z18" s="14"/>
      <c r="AA18" s="14"/>
      <c r="AB18" s="14"/>
      <c r="AC18" s="14"/>
      <c r="AD18" s="14"/>
      <c r="AE18" s="14"/>
      <c r="AF18" s="14"/>
      <c r="AG18" s="14"/>
      <c r="AH18" s="14"/>
      <c r="AI18" s="14"/>
      <c r="AJ18" s="14"/>
      <c r="AK18" s="14"/>
      <c r="AL18" s="14"/>
      <c r="AM18" s="14"/>
      <c r="AN18" s="14"/>
      <c r="AO18" s="14"/>
      <c r="AP18" s="14"/>
      <c r="AR18" t="str">
        <f>IF(AR17&lt;$D$14,AR17+1,"")</f>
        <v/>
      </c>
      <c r="AS18" s="70">
        <f>IF(ISNUMBER(AR18),AV17,0)</f>
        <v>0</v>
      </c>
      <c r="AT18" s="70"/>
      <c r="AU18" s="70">
        <f t="shared" si="2"/>
        <v>0</v>
      </c>
      <c r="AV18" s="70">
        <f t="shared" si="6"/>
        <v>0</v>
      </c>
      <c r="AW18">
        <f>IF(ISNUMBER(AR19),SUM(AT18:AU18),SUM(AT18:AV18))</f>
        <v>0</v>
      </c>
      <c r="AX18" s="71">
        <f t="shared" si="0"/>
        <v>0</v>
      </c>
      <c r="AY18">
        <f t="shared" si="4"/>
        <v>0</v>
      </c>
      <c r="AZ18"/>
    </row>
    <row r="19" spans="1:53" ht="10.5" customHeight="1" thickBot="1" x14ac:dyDescent="0.25">
      <c r="A19" s="14"/>
      <c r="B19" s="113"/>
      <c r="C19" s="7"/>
      <c r="D19" s="7"/>
      <c r="E19" s="7"/>
      <c r="F19" s="114"/>
      <c r="G19" s="115"/>
      <c r="H19" s="7"/>
      <c r="I19" s="7"/>
      <c r="J19" s="7"/>
      <c r="K19" s="7"/>
      <c r="L19" s="132"/>
      <c r="M19" s="7"/>
      <c r="N19" s="116"/>
      <c r="O19" s="6"/>
      <c r="P19" s="14"/>
      <c r="Q19" s="668"/>
      <c r="R19" s="207">
        <f>AZ5</f>
        <v>0</v>
      </c>
      <c r="S19" s="207">
        <f>AY4</f>
        <v>0.69677796237285428</v>
      </c>
      <c r="T19" s="670">
        <f>R19+S19</f>
        <v>0.69677796237285428</v>
      </c>
      <c r="U19" s="670"/>
      <c r="V19" s="667" t="e">
        <f>T19/('2014 model'!Q36/'2014 model'!D16)</f>
        <v>#DIV/0!</v>
      </c>
      <c r="W19" s="671"/>
      <c r="X19" s="14"/>
      <c r="Y19" s="14"/>
      <c r="Z19" s="14"/>
      <c r="AA19" s="14"/>
      <c r="AB19" s="14"/>
      <c r="AC19" s="14"/>
      <c r="AD19" s="14"/>
      <c r="AE19" s="14"/>
      <c r="AF19" s="14"/>
      <c r="AG19" s="14"/>
      <c r="AH19" s="14"/>
      <c r="AI19" s="14"/>
      <c r="AJ19" s="14"/>
      <c r="AK19" s="14"/>
      <c r="AL19" s="14"/>
      <c r="AM19" s="14"/>
      <c r="AN19" s="14"/>
      <c r="AO19" s="14"/>
      <c r="AP19" s="14"/>
      <c r="AR19" t="str">
        <f>IF(AR18&lt;$D$14,AR18+1,"")</f>
        <v/>
      </c>
      <c r="AS19" s="70">
        <f>IF(ISNUMBER(AR19),AV18,0)</f>
        <v>0</v>
      </c>
      <c r="AT19" s="70"/>
      <c r="AU19" s="70">
        <f t="shared" si="2"/>
        <v>0</v>
      </c>
      <c r="AV19" s="70">
        <f t="shared" si="6"/>
        <v>0</v>
      </c>
      <c r="AW19">
        <f t="shared" si="7"/>
        <v>0</v>
      </c>
      <c r="AX19" s="71">
        <f t="shared" si="0"/>
        <v>0</v>
      </c>
      <c r="AY19">
        <f t="shared" si="4"/>
        <v>0</v>
      </c>
      <c r="AZ19"/>
    </row>
    <row r="20" spans="1:53" ht="9.75" customHeight="1" thickBot="1" x14ac:dyDescent="0.25">
      <c r="A20" s="14"/>
      <c r="B20" s="14"/>
      <c r="C20" s="14"/>
      <c r="D20" s="14"/>
      <c r="E20" s="14"/>
      <c r="F20" s="14"/>
      <c r="G20" s="14"/>
      <c r="H20" s="14"/>
      <c r="I20" s="14"/>
      <c r="J20" s="14"/>
      <c r="K20" s="14"/>
      <c r="L20" s="14"/>
      <c r="M20" s="14"/>
      <c r="N20" s="14"/>
      <c r="O20" s="14"/>
      <c r="P20" s="14"/>
      <c r="Q20" s="6"/>
      <c r="R20" s="6"/>
      <c r="S20" s="6"/>
      <c r="T20" s="6"/>
      <c r="U20" s="6"/>
      <c r="V20" s="6"/>
      <c r="W20" s="6"/>
      <c r="X20" s="14"/>
      <c r="Y20" s="14"/>
      <c r="Z20" s="14"/>
      <c r="AA20" s="14"/>
      <c r="AB20" s="14"/>
      <c r="AC20" s="14"/>
      <c r="AD20" s="14"/>
      <c r="AE20" s="14"/>
      <c r="AF20" s="14"/>
      <c r="AG20" s="14"/>
      <c r="AH20" s="14"/>
      <c r="AI20" s="14"/>
      <c r="AJ20" s="14"/>
      <c r="AK20" s="14"/>
      <c r="AL20" s="14"/>
      <c r="AM20" s="14"/>
      <c r="AN20" s="14"/>
      <c r="AO20" s="14"/>
      <c r="AP20" s="14"/>
      <c r="AR20" t="str">
        <f t="shared" si="1"/>
        <v/>
      </c>
      <c r="AS20" s="70">
        <f t="shared" si="5"/>
        <v>0</v>
      </c>
      <c r="AT20" s="70"/>
      <c r="AU20" s="70">
        <f t="shared" si="2"/>
        <v>0</v>
      </c>
      <c r="AV20" s="70">
        <f t="shared" si="6"/>
        <v>0</v>
      </c>
      <c r="AW20">
        <f t="shared" si="7"/>
        <v>0</v>
      </c>
      <c r="AX20" s="71">
        <f t="shared" si="0"/>
        <v>0</v>
      </c>
      <c r="AY20">
        <f t="shared" si="4"/>
        <v>0</v>
      </c>
      <c r="AZ20"/>
    </row>
    <row r="21" spans="1:53" ht="10.5" customHeight="1" x14ac:dyDescent="0.2">
      <c r="A21" s="14"/>
      <c r="B21" s="14"/>
      <c r="C21" s="14"/>
      <c r="D21" s="14"/>
      <c r="E21" s="6"/>
      <c r="F21" s="617" t="s">
        <v>562</v>
      </c>
      <c r="G21" s="27" t="s">
        <v>561</v>
      </c>
      <c r="H21" s="28"/>
      <c r="I21" s="29" t="e">
        <f>T9</f>
        <v>#DIV/0!</v>
      </c>
      <c r="J21" s="30"/>
      <c r="K21" s="30"/>
      <c r="L21" s="30"/>
      <c r="M21" s="30"/>
      <c r="N21" s="31"/>
      <c r="O21" s="35"/>
      <c r="P21" s="6"/>
      <c r="Q21" s="214"/>
      <c r="R21" s="596" t="s">
        <v>208</v>
      </c>
      <c r="S21" s="625"/>
      <c r="T21" s="215"/>
      <c r="U21" s="695" t="s">
        <v>565</v>
      </c>
      <c r="V21" s="695"/>
      <c r="W21" s="696"/>
      <c r="X21" s="14"/>
      <c r="Y21" s="14"/>
      <c r="Z21" s="14"/>
      <c r="AA21" s="14"/>
      <c r="AB21" s="14"/>
      <c r="AC21" s="14"/>
      <c r="AD21" s="14"/>
      <c r="AE21" s="14"/>
      <c r="AF21" s="14"/>
      <c r="AG21" s="14"/>
      <c r="AH21" s="14"/>
      <c r="AI21" s="14"/>
      <c r="AJ21" s="14"/>
      <c r="AK21" s="14"/>
      <c r="AL21" s="14"/>
      <c r="AM21" s="14"/>
      <c r="AN21" s="14"/>
      <c r="AO21" s="14"/>
      <c r="AP21" s="14"/>
      <c r="AR21" t="str">
        <f t="shared" si="1"/>
        <v/>
      </c>
      <c r="AS21" s="70">
        <f t="shared" si="5"/>
        <v>0</v>
      </c>
      <c r="AT21" s="70"/>
      <c r="AU21" s="70">
        <f t="shared" si="2"/>
        <v>0</v>
      </c>
      <c r="AV21" s="70">
        <f t="shared" si="6"/>
        <v>0</v>
      </c>
      <c r="AW21">
        <f t="shared" si="7"/>
        <v>0</v>
      </c>
      <c r="AX21" s="71">
        <f t="shared" si="0"/>
        <v>0</v>
      </c>
      <c r="AY21">
        <f t="shared" si="4"/>
        <v>0</v>
      </c>
      <c r="AZ21"/>
    </row>
    <row r="22" spans="1:53" ht="12" customHeight="1" thickBot="1" x14ac:dyDescent="0.25">
      <c r="A22" s="14"/>
      <c r="B22" s="14"/>
      <c r="C22" s="14"/>
      <c r="D22" s="14"/>
      <c r="E22" s="6"/>
      <c r="F22" s="618"/>
      <c r="G22" s="32" t="s">
        <v>560</v>
      </c>
      <c r="H22" s="33"/>
      <c r="I22" s="34" t="e">
        <f>T10</f>
        <v>#DIV/0!</v>
      </c>
      <c r="J22" s="35"/>
      <c r="K22" s="35"/>
      <c r="L22" s="35"/>
      <c r="M22" s="35"/>
      <c r="N22" s="36"/>
      <c r="O22" s="35"/>
      <c r="P22" s="6"/>
      <c r="Q22" s="216"/>
      <c r="R22" s="577"/>
      <c r="S22" s="627"/>
      <c r="T22" s="212"/>
      <c r="U22" s="697"/>
      <c r="V22" s="697"/>
      <c r="W22" s="698"/>
      <c r="X22" s="14"/>
      <c r="Y22" s="217"/>
      <c r="Z22" s="14"/>
      <c r="AA22" s="14"/>
      <c r="AB22" s="14"/>
      <c r="AC22" s="14"/>
      <c r="AD22" s="14"/>
      <c r="AE22" s="14"/>
      <c r="AF22" s="14"/>
      <c r="AG22" s="14"/>
      <c r="AH22" s="14"/>
      <c r="AI22" s="14"/>
      <c r="AJ22" s="14"/>
      <c r="AK22" s="14"/>
      <c r="AL22" s="14"/>
      <c r="AM22" s="14"/>
      <c r="AN22" s="14"/>
      <c r="AO22" s="14"/>
      <c r="AP22" s="14"/>
      <c r="AR22" t="str">
        <f t="shared" si="1"/>
        <v/>
      </c>
      <c r="AS22" s="70">
        <f t="shared" si="5"/>
        <v>0</v>
      </c>
      <c r="AT22" s="70"/>
      <c r="AU22" s="70">
        <f t="shared" si="2"/>
        <v>0</v>
      </c>
      <c r="AV22" s="70">
        <f t="shared" si="6"/>
        <v>0</v>
      </c>
      <c r="AW22">
        <f t="shared" si="7"/>
        <v>0</v>
      </c>
      <c r="AX22" s="71">
        <f t="shared" si="0"/>
        <v>0</v>
      </c>
      <c r="AY22">
        <f t="shared" si="4"/>
        <v>0</v>
      </c>
      <c r="AZ22"/>
    </row>
    <row r="23" spans="1:53" ht="10.75" customHeight="1" x14ac:dyDescent="0.2">
      <c r="A23" s="14"/>
      <c r="B23" s="565" t="s">
        <v>410</v>
      </c>
      <c r="C23" s="637"/>
      <c r="D23" s="637"/>
      <c r="E23" s="637"/>
      <c r="F23" s="618"/>
      <c r="G23" s="32" t="s">
        <v>390</v>
      </c>
      <c r="H23" s="33"/>
      <c r="I23" s="34" t="e">
        <f>T11</f>
        <v>#DIV/0!</v>
      </c>
      <c r="J23" s="35"/>
      <c r="K23" s="35"/>
      <c r="L23" s="35"/>
      <c r="M23" s="35"/>
      <c r="N23" s="36"/>
      <c r="O23" s="35"/>
      <c r="P23" s="6"/>
      <c r="Q23" s="214"/>
      <c r="R23" s="218" t="s">
        <v>570</v>
      </c>
      <c r="S23" s="219" t="e">
        <f>W24/W23</f>
        <v>#DIV/0!</v>
      </c>
      <c r="T23" s="220"/>
      <c r="U23" s="221" t="s">
        <v>566</v>
      </c>
      <c r="V23" s="221"/>
      <c r="W23" s="222" t="e">
        <f>(R36/S36)*T5</f>
        <v>#DIV/0!</v>
      </c>
      <c r="X23" s="14"/>
      <c r="Y23" s="217"/>
      <c r="Z23" s="14"/>
      <c r="AA23" s="14"/>
      <c r="AB23" s="14"/>
      <c r="AC23" s="14"/>
      <c r="AD23" s="14"/>
      <c r="AE23" s="14"/>
      <c r="AF23" s="14"/>
      <c r="AG23" s="14"/>
      <c r="AH23" s="14"/>
      <c r="AI23" s="14"/>
      <c r="AJ23" s="14"/>
      <c r="AK23" s="14"/>
      <c r="AL23" s="14"/>
      <c r="AM23" s="14"/>
      <c r="AN23" s="14"/>
      <c r="AO23" s="14"/>
      <c r="AP23" s="14"/>
      <c r="AR23" t="str">
        <f t="shared" si="1"/>
        <v/>
      </c>
      <c r="AS23" s="70">
        <f t="shared" si="5"/>
        <v>0</v>
      </c>
      <c r="AT23" s="70"/>
      <c r="AU23" s="70">
        <f t="shared" si="2"/>
        <v>0</v>
      </c>
      <c r="AV23" s="70">
        <f t="shared" si="6"/>
        <v>0</v>
      </c>
      <c r="AW23">
        <f t="shared" si="7"/>
        <v>0</v>
      </c>
      <c r="AX23" s="71">
        <f t="shared" si="0"/>
        <v>0</v>
      </c>
      <c r="AY23">
        <f t="shared" si="4"/>
        <v>0</v>
      </c>
      <c r="AZ23"/>
    </row>
    <row r="24" spans="1:53" ht="12.75" customHeight="1" thickBot="1" x14ac:dyDescent="0.25">
      <c r="A24" s="14"/>
      <c r="B24" s="638"/>
      <c r="C24" s="639"/>
      <c r="D24" s="639"/>
      <c r="E24" s="639"/>
      <c r="F24" s="618"/>
      <c r="G24" s="32" t="s">
        <v>542</v>
      </c>
      <c r="H24" s="33"/>
      <c r="I24" s="34" t="e">
        <f>'2014 model'!V19</f>
        <v>#DIV/0!</v>
      </c>
      <c r="J24" s="35"/>
      <c r="K24" s="35"/>
      <c r="L24" s="35"/>
      <c r="M24" s="35"/>
      <c r="N24" s="36"/>
      <c r="O24" s="35"/>
      <c r="P24" s="6"/>
      <c r="Q24" s="216"/>
      <c r="R24" s="218" t="s">
        <v>560</v>
      </c>
      <c r="S24" s="219" t="e">
        <f>W25/W23</f>
        <v>#DIV/0!</v>
      </c>
      <c r="T24" s="220"/>
      <c r="U24" s="221" t="s">
        <v>209</v>
      </c>
      <c r="V24" s="221"/>
      <c r="W24" s="222" t="e">
        <f>T9*R36</f>
        <v>#DIV/0!</v>
      </c>
      <c r="X24" s="14"/>
      <c r="Y24" s="6"/>
      <c r="Z24" s="14"/>
      <c r="AA24" s="14"/>
      <c r="AB24" s="14"/>
      <c r="AC24" s="14"/>
      <c r="AD24" s="14"/>
      <c r="AE24" s="14"/>
      <c r="AF24" s="14"/>
      <c r="AG24" s="14"/>
      <c r="AH24" s="14"/>
      <c r="AI24" s="14"/>
      <c r="AJ24" s="14"/>
      <c r="AK24" s="14"/>
      <c r="AL24" s="14"/>
      <c r="AM24" s="14"/>
      <c r="AN24" s="14"/>
      <c r="AO24" s="14"/>
      <c r="AP24" s="14"/>
      <c r="AR24" t="str">
        <f t="shared" si="1"/>
        <v/>
      </c>
      <c r="AS24" s="70">
        <f t="shared" si="5"/>
        <v>0</v>
      </c>
      <c r="AT24" s="70"/>
      <c r="AU24" s="70">
        <f t="shared" si="2"/>
        <v>0</v>
      </c>
      <c r="AV24" s="70">
        <f t="shared" si="6"/>
        <v>0</v>
      </c>
      <c r="AW24">
        <f>IF(ISNUMBER(AR25),SUM(AT24:AU24),SUM(AT24:AV24))</f>
        <v>0</v>
      </c>
      <c r="AX24" s="71">
        <f t="shared" si="0"/>
        <v>0</v>
      </c>
      <c r="AY24">
        <f t="shared" si="4"/>
        <v>0</v>
      </c>
      <c r="AZ24"/>
    </row>
    <row r="25" spans="1:53" ht="14.5" customHeight="1" x14ac:dyDescent="0.2">
      <c r="A25" s="14"/>
      <c r="B25" s="638"/>
      <c r="C25" s="639"/>
      <c r="D25" s="639"/>
      <c r="E25" s="639"/>
      <c r="F25" s="37" t="s">
        <v>574</v>
      </c>
      <c r="G25" s="38"/>
      <c r="H25" s="38"/>
      <c r="I25" s="39" t="e">
        <f>'2014 model'!V19*J36</f>
        <v>#DIV/0!</v>
      </c>
      <c r="J25" s="35"/>
      <c r="K25" s="35"/>
      <c r="L25" s="35"/>
      <c r="M25" s="35"/>
      <c r="N25" s="36"/>
      <c r="O25" s="35"/>
      <c r="P25" s="6"/>
      <c r="Q25" s="676" t="s">
        <v>210</v>
      </c>
      <c r="R25" s="218" t="s">
        <v>390</v>
      </c>
      <c r="S25" s="219" t="e">
        <f>W27/W23</f>
        <v>#DIV/0!</v>
      </c>
      <c r="T25" s="223"/>
      <c r="U25" s="221" t="s">
        <v>560</v>
      </c>
      <c r="V25" s="221"/>
      <c r="W25" s="222" t="e">
        <f>T10*R36</f>
        <v>#DIV/0!</v>
      </c>
      <c r="X25" s="6"/>
      <c r="Y25" s="6"/>
      <c r="Z25" s="14"/>
      <c r="AA25" s="14"/>
      <c r="AB25" s="14"/>
      <c r="AC25" s="14"/>
      <c r="AD25" s="14"/>
      <c r="AE25" s="14"/>
      <c r="AF25" s="14"/>
      <c r="AG25" s="14"/>
      <c r="AH25" s="14"/>
      <c r="AI25" s="14"/>
      <c r="AJ25" s="14"/>
      <c r="AK25" s="14"/>
      <c r="AL25" s="14"/>
      <c r="AM25" s="14"/>
      <c r="AN25" s="14"/>
      <c r="AO25" s="14"/>
      <c r="AP25" s="14"/>
      <c r="AR25" t="str">
        <f>IF(AR24&lt;$D$14,AR24+1,"")</f>
        <v/>
      </c>
      <c r="AS25" s="70">
        <f>IF(ISNUMBER(AR25),AV24,0)</f>
        <v>0</v>
      </c>
      <c r="AT25" s="70"/>
      <c r="AU25" s="70">
        <f t="shared" si="2"/>
        <v>0</v>
      </c>
      <c r="AV25" s="70">
        <f t="shared" si="6"/>
        <v>0</v>
      </c>
      <c r="AW25">
        <f t="shared" si="7"/>
        <v>0</v>
      </c>
      <c r="AX25" s="71">
        <f t="shared" si="0"/>
        <v>0</v>
      </c>
      <c r="AY25">
        <f t="shared" si="4"/>
        <v>0</v>
      </c>
      <c r="AZ25"/>
    </row>
    <row r="26" spans="1:53" ht="12" customHeight="1" thickBot="1" x14ac:dyDescent="0.25">
      <c r="A26" s="14"/>
      <c r="B26" s="567"/>
      <c r="C26" s="640"/>
      <c r="D26" s="640"/>
      <c r="E26" s="640"/>
      <c r="F26" s="15"/>
      <c r="G26" s="6"/>
      <c r="H26" s="6"/>
      <c r="I26" s="6"/>
      <c r="J26" s="6"/>
      <c r="K26" s="6"/>
      <c r="L26" s="6"/>
      <c r="M26" s="6"/>
      <c r="N26" s="12"/>
      <c r="O26" s="35"/>
      <c r="P26" s="6"/>
      <c r="Q26" s="677"/>
      <c r="R26" s="15"/>
      <c r="S26" s="6"/>
      <c r="T26" s="6"/>
      <c r="U26" s="221" t="s">
        <v>542</v>
      </c>
      <c r="V26" s="221"/>
      <c r="W26" s="222" t="e">
        <f>V19*R36</f>
        <v>#DIV/0!</v>
      </c>
      <c r="X26" s="14"/>
      <c r="Y26" s="14"/>
      <c r="Z26" s="14"/>
      <c r="AA26" s="14"/>
      <c r="AB26" s="14"/>
      <c r="AC26" s="14"/>
      <c r="AD26" s="14"/>
      <c r="AE26" s="14"/>
      <c r="AF26" s="14"/>
      <c r="AG26" s="14"/>
      <c r="AH26" s="14"/>
      <c r="AI26" s="14"/>
      <c r="AJ26" s="14"/>
      <c r="AK26" s="14"/>
      <c r="AL26" s="14"/>
      <c r="AM26" s="14"/>
      <c r="AN26" s="14"/>
      <c r="AO26" s="14"/>
      <c r="AP26" s="14"/>
      <c r="AR26" t="str">
        <f t="shared" si="1"/>
        <v/>
      </c>
      <c r="AS26" s="70">
        <f t="shared" si="5"/>
        <v>0</v>
      </c>
      <c r="AT26" s="70"/>
      <c r="AU26" s="70">
        <f t="shared" si="2"/>
        <v>0</v>
      </c>
      <c r="AV26" s="70">
        <f t="shared" si="6"/>
        <v>0</v>
      </c>
      <c r="AW26">
        <f t="shared" si="7"/>
        <v>0</v>
      </c>
      <c r="AX26" s="71">
        <f t="shared" si="0"/>
        <v>0</v>
      </c>
      <c r="AY26">
        <f t="shared" si="4"/>
        <v>0</v>
      </c>
      <c r="AZ26"/>
    </row>
    <row r="27" spans="1:53" ht="12.75" customHeight="1" x14ac:dyDescent="0.2">
      <c r="A27" s="14"/>
      <c r="B27" s="14"/>
      <c r="C27" s="14"/>
      <c r="D27" s="14"/>
      <c r="E27" s="6"/>
      <c r="F27" s="40" t="s">
        <v>211</v>
      </c>
      <c r="G27" s="41" t="e">
        <f>I21/I24</f>
        <v>#DIV/0!</v>
      </c>
      <c r="H27" s="42" t="s">
        <v>568</v>
      </c>
      <c r="I27" s="38"/>
      <c r="J27" s="38"/>
      <c r="K27" s="38"/>
      <c r="L27" s="38"/>
      <c r="M27" s="38"/>
      <c r="N27" s="43"/>
      <c r="O27" s="35"/>
      <c r="P27" s="6"/>
      <c r="Q27" s="677"/>
      <c r="R27" s="15"/>
      <c r="S27" s="6"/>
      <c r="T27" s="6"/>
      <c r="U27" s="221" t="s">
        <v>390</v>
      </c>
      <c r="V27" s="221"/>
      <c r="W27" s="222" t="e">
        <f>T11*R36</f>
        <v>#DIV/0!</v>
      </c>
      <c r="X27" s="14"/>
      <c r="Y27" s="14"/>
      <c r="Z27" s="14"/>
      <c r="AA27" s="14"/>
      <c r="AB27" s="14"/>
      <c r="AC27" s="14"/>
      <c r="AD27" s="14"/>
      <c r="AE27" s="14"/>
      <c r="AF27" s="14"/>
      <c r="AG27" s="14"/>
      <c r="AH27" s="14"/>
      <c r="AI27" s="14"/>
      <c r="AJ27" s="14"/>
      <c r="AK27" s="14"/>
      <c r="AL27" s="14"/>
      <c r="AM27" s="14"/>
      <c r="AN27" s="14"/>
      <c r="AO27" s="14"/>
      <c r="AP27" s="14"/>
      <c r="AR27" t="str">
        <f t="shared" si="1"/>
        <v/>
      </c>
      <c r="AS27" s="70">
        <f t="shared" si="5"/>
        <v>0</v>
      </c>
      <c r="AT27" s="70"/>
      <c r="AU27" s="70">
        <f t="shared" si="2"/>
        <v>0</v>
      </c>
      <c r="AV27" s="70">
        <f t="shared" si="6"/>
        <v>0</v>
      </c>
      <c r="AW27">
        <f t="shared" si="7"/>
        <v>0</v>
      </c>
      <c r="AX27" s="71">
        <f t="shared" si="0"/>
        <v>0</v>
      </c>
      <c r="AY27">
        <f t="shared" si="4"/>
        <v>0</v>
      </c>
      <c r="AZ27" s="90"/>
      <c r="BA27" s="14"/>
    </row>
    <row r="28" spans="1:53" s="14" customFormat="1" ht="14.5" customHeight="1" thickBot="1" x14ac:dyDescent="0.25">
      <c r="E28" s="6"/>
      <c r="F28" s="40" t="s">
        <v>569</v>
      </c>
      <c r="G28" s="41" t="e">
        <f>I22/I24</f>
        <v>#DIV/0!</v>
      </c>
      <c r="H28" s="42" t="s">
        <v>568</v>
      </c>
      <c r="I28" s="38"/>
      <c r="J28" s="38"/>
      <c r="K28" s="38"/>
      <c r="L28" s="38"/>
      <c r="M28" s="38"/>
      <c r="N28" s="43"/>
      <c r="O28" s="35"/>
      <c r="P28" s="6"/>
      <c r="Q28" s="678"/>
      <c r="R28" s="15"/>
      <c r="S28" s="6"/>
      <c r="T28" s="6"/>
      <c r="U28" s="6"/>
      <c r="V28" s="6"/>
      <c r="W28" s="12"/>
      <c r="AR28" t="str">
        <f t="shared" si="1"/>
        <v/>
      </c>
      <c r="AS28" s="70">
        <f t="shared" si="5"/>
        <v>0</v>
      </c>
      <c r="AT28" s="70"/>
      <c r="AU28" s="70">
        <f t="shared" si="2"/>
        <v>0</v>
      </c>
      <c r="AV28" s="70">
        <f t="shared" si="6"/>
        <v>0</v>
      </c>
      <c r="AW28">
        <f t="shared" si="7"/>
        <v>0</v>
      </c>
      <c r="AX28" s="71">
        <f t="shared" si="0"/>
        <v>0</v>
      </c>
      <c r="AY28">
        <f t="shared" si="4"/>
        <v>0</v>
      </c>
      <c r="AZ28"/>
      <c r="BA28" s="1"/>
    </row>
    <row r="29" spans="1:53" ht="13.75" customHeight="1" x14ac:dyDescent="0.2">
      <c r="A29" s="14"/>
      <c r="B29" s="14"/>
      <c r="C29" s="14"/>
      <c r="D29" s="14"/>
      <c r="E29" s="6"/>
      <c r="F29" s="40" t="s">
        <v>407</v>
      </c>
      <c r="G29" s="41" t="e">
        <f>I23/I24</f>
        <v>#DIV/0!</v>
      </c>
      <c r="H29" s="42" t="s">
        <v>568</v>
      </c>
      <c r="I29" s="38"/>
      <c r="J29" s="38"/>
      <c r="K29" s="38"/>
      <c r="L29" s="38"/>
      <c r="M29" s="38"/>
      <c r="N29" s="43"/>
      <c r="O29" s="35"/>
      <c r="P29" s="6"/>
      <c r="Q29" s="216"/>
      <c r="R29" s="691" t="s">
        <v>212</v>
      </c>
      <c r="S29" s="692"/>
      <c r="T29" s="692"/>
      <c r="U29" s="692"/>
      <c r="V29" s="692"/>
      <c r="W29" s="224" t="e">
        <f>W24-W23</f>
        <v>#DIV/0!</v>
      </c>
      <c r="X29" s="14"/>
      <c r="Y29" s="14"/>
      <c r="Z29" s="14"/>
      <c r="AA29" s="14"/>
      <c r="AB29" s="14"/>
      <c r="AC29" s="14"/>
      <c r="AD29" s="14"/>
      <c r="AE29" s="14"/>
      <c r="AF29" s="14"/>
      <c r="AG29" s="14"/>
      <c r="AH29" s="14"/>
      <c r="AI29" s="14"/>
      <c r="AJ29" s="14"/>
      <c r="AK29" s="14"/>
      <c r="AL29" s="14"/>
      <c r="AM29" s="14"/>
      <c r="AN29" s="14"/>
      <c r="AO29" s="14"/>
      <c r="AP29" s="14"/>
      <c r="AR29" t="str">
        <f t="shared" si="1"/>
        <v/>
      </c>
      <c r="AS29" s="70">
        <f t="shared" si="5"/>
        <v>0</v>
      </c>
      <c r="AT29" s="70"/>
      <c r="AU29" s="70">
        <f t="shared" si="2"/>
        <v>0</v>
      </c>
      <c r="AV29" s="70">
        <f t="shared" si="6"/>
        <v>0</v>
      </c>
      <c r="AW29">
        <f t="shared" si="7"/>
        <v>0</v>
      </c>
      <c r="AX29" s="71">
        <f t="shared" si="0"/>
        <v>0</v>
      </c>
      <c r="AY29">
        <f t="shared" si="4"/>
        <v>0</v>
      </c>
      <c r="AZ29"/>
    </row>
    <row r="30" spans="1:53" ht="13.5" customHeight="1" x14ac:dyDescent="0.2">
      <c r="A30" s="14"/>
      <c r="B30" s="14"/>
      <c r="C30" s="14"/>
      <c r="D30" s="14"/>
      <c r="E30" s="6"/>
      <c r="F30" s="15"/>
      <c r="G30" s="6"/>
      <c r="H30" s="6"/>
      <c r="I30" s="6"/>
      <c r="J30" s="35"/>
      <c r="K30" s="35"/>
      <c r="L30" s="35"/>
      <c r="M30" s="35"/>
      <c r="N30" s="36"/>
      <c r="O30" s="35"/>
      <c r="P30" s="6"/>
      <c r="Q30" s="216"/>
      <c r="R30" s="691" t="s">
        <v>213</v>
      </c>
      <c r="S30" s="692"/>
      <c r="T30" s="692"/>
      <c r="U30" s="692"/>
      <c r="V30" s="692"/>
      <c r="W30" s="224" t="e">
        <f>W25-W23</f>
        <v>#DIV/0!</v>
      </c>
      <c r="X30" s="14"/>
      <c r="Y30" s="14"/>
      <c r="Z30" s="14"/>
      <c r="AA30" s="14"/>
      <c r="AB30" s="14"/>
      <c r="AC30" s="14"/>
      <c r="AD30" s="14"/>
      <c r="AE30" s="14"/>
      <c r="AF30" s="14"/>
      <c r="AG30" s="14"/>
      <c r="AH30" s="14"/>
      <c r="AI30" s="14"/>
      <c r="AJ30" s="14"/>
      <c r="AK30" s="14"/>
      <c r="AL30" s="14"/>
      <c r="AM30" s="14"/>
      <c r="AN30" s="14"/>
      <c r="AO30" s="14"/>
      <c r="AP30" s="14"/>
      <c r="AR30" t="str">
        <f t="shared" si="1"/>
        <v/>
      </c>
      <c r="AS30" s="70">
        <f t="shared" si="5"/>
        <v>0</v>
      </c>
      <c r="AT30" s="70"/>
      <c r="AU30" s="70">
        <f t="shared" si="2"/>
        <v>0</v>
      </c>
      <c r="AV30" s="70">
        <f t="shared" si="6"/>
        <v>0</v>
      </c>
      <c r="AW30">
        <f>IF(ISNUMBER(AR33),SUM(AT30:AU30),SUM(AT30:AV30))</f>
        <v>0</v>
      </c>
      <c r="AX30" s="71">
        <f t="shared" si="0"/>
        <v>0</v>
      </c>
      <c r="AY30">
        <f t="shared" si="4"/>
        <v>0</v>
      </c>
      <c r="AZ30"/>
    </row>
    <row r="31" spans="1:53" ht="13.5" customHeight="1" thickBot="1" x14ac:dyDescent="0.25">
      <c r="A31" s="14"/>
      <c r="B31" s="14"/>
      <c r="C31" s="14"/>
      <c r="D31" s="14"/>
      <c r="E31" s="6"/>
      <c r="F31" s="618" t="s">
        <v>446</v>
      </c>
      <c r="G31" s="32" t="s">
        <v>561</v>
      </c>
      <c r="H31" s="33"/>
      <c r="I31" s="39" t="e">
        <f>1000/V14</f>
        <v>#DIV/0!</v>
      </c>
      <c r="J31" s="35"/>
      <c r="K31" s="35"/>
      <c r="L31" s="35"/>
      <c r="M31" s="35"/>
      <c r="N31" s="36"/>
      <c r="O31" s="35"/>
      <c r="P31" s="6"/>
      <c r="Q31" s="225"/>
      <c r="R31" s="693" t="s">
        <v>214</v>
      </c>
      <c r="S31" s="694"/>
      <c r="T31" s="694"/>
      <c r="U31" s="694"/>
      <c r="V31" s="694"/>
      <c r="W31" s="226" t="e">
        <f>W27-W23</f>
        <v>#DIV/0!</v>
      </c>
      <c r="X31" s="14"/>
      <c r="Y31" s="14"/>
      <c r="Z31" s="14"/>
      <c r="AA31" s="14"/>
      <c r="AB31" s="14"/>
      <c r="AC31" s="14"/>
      <c r="AD31" s="14"/>
      <c r="AE31" s="14"/>
      <c r="AF31" s="14"/>
      <c r="AG31" s="14"/>
      <c r="AH31" s="14"/>
      <c r="AI31" s="14"/>
      <c r="AJ31" s="14"/>
      <c r="AK31" s="14"/>
      <c r="AL31" s="14"/>
      <c r="AM31" s="14"/>
      <c r="AN31" s="14"/>
      <c r="AO31" s="14"/>
      <c r="AP31" s="14"/>
      <c r="AR31"/>
      <c r="AS31" s="70"/>
      <c r="AT31" s="70"/>
      <c r="AU31" s="70"/>
      <c r="AV31" s="70"/>
      <c r="AW31"/>
      <c r="AX31" s="71"/>
      <c r="AY31"/>
      <c r="AZ31"/>
    </row>
    <row r="32" spans="1:53" ht="13.5" customHeight="1" x14ac:dyDescent="0.2">
      <c r="A32" s="14"/>
      <c r="B32" s="14"/>
      <c r="C32" s="14"/>
      <c r="D32" s="14"/>
      <c r="E32" s="6"/>
      <c r="F32" s="618"/>
      <c r="G32" s="32" t="s">
        <v>560</v>
      </c>
      <c r="H32" s="33"/>
      <c r="I32" s="39" t="e">
        <f>1000/V15</f>
        <v>#DIV/0!</v>
      </c>
      <c r="J32" s="35"/>
      <c r="K32" s="35"/>
      <c r="L32" s="35"/>
      <c r="M32" s="35"/>
      <c r="N32" s="36"/>
      <c r="O32" s="35"/>
      <c r="P32" s="6"/>
      <c r="Q32" s="87"/>
      <c r="R32" s="88"/>
      <c r="S32" s="88"/>
      <c r="T32" s="88"/>
      <c r="U32" s="88"/>
      <c r="V32" s="88"/>
      <c r="W32" s="89"/>
      <c r="X32" s="14"/>
      <c r="Y32" s="14"/>
      <c r="Z32" s="14"/>
      <c r="AA32" s="14"/>
      <c r="AB32" s="14"/>
      <c r="AC32" s="14"/>
      <c r="AD32" s="14"/>
      <c r="AE32" s="14"/>
      <c r="AF32" s="14"/>
      <c r="AG32" s="14"/>
      <c r="AH32" s="14"/>
      <c r="AI32" s="14"/>
      <c r="AJ32" s="14"/>
      <c r="AK32" s="14"/>
      <c r="AL32" s="14"/>
      <c r="AM32" s="14"/>
      <c r="AN32" s="14"/>
      <c r="AO32" s="14"/>
      <c r="AP32" s="14"/>
      <c r="AR32"/>
      <c r="AS32" s="70"/>
      <c r="AT32" s="70"/>
      <c r="AU32" s="70"/>
      <c r="AV32" s="70"/>
      <c r="AW32"/>
      <c r="AX32" s="71"/>
      <c r="AY32"/>
      <c r="AZ32"/>
    </row>
    <row r="33" spans="1:52" ht="13.75" customHeight="1" thickBot="1" x14ac:dyDescent="0.25">
      <c r="A33" s="14"/>
      <c r="B33" s="14"/>
      <c r="C33" s="14"/>
      <c r="D33" s="14"/>
      <c r="E33" s="14"/>
      <c r="F33" s="680"/>
      <c r="G33" s="91" t="s">
        <v>390</v>
      </c>
      <c r="H33" s="92"/>
      <c r="I33" s="93" t="e">
        <f>1000/V16</f>
        <v>#DIV/0!</v>
      </c>
      <c r="J33" s="7"/>
      <c r="K33" s="7"/>
      <c r="L33" s="7"/>
      <c r="M33" s="7"/>
      <c r="N33" s="141"/>
      <c r="O33" s="14"/>
      <c r="P33" s="14"/>
      <c r="Q33" s="87"/>
      <c r="R33" s="88"/>
      <c r="S33" s="88"/>
      <c r="T33" s="88"/>
      <c r="U33" s="88"/>
      <c r="V33" s="88"/>
      <c r="W33" s="89"/>
      <c r="X33" s="14"/>
      <c r="Y33" s="14"/>
      <c r="Z33" s="14"/>
      <c r="AA33" s="14"/>
      <c r="AB33" s="14"/>
      <c r="AC33" s="14"/>
      <c r="AD33" s="14"/>
      <c r="AE33" s="14"/>
      <c r="AF33" s="14"/>
      <c r="AG33" s="14"/>
      <c r="AH33" s="14"/>
      <c r="AI33" s="14"/>
      <c r="AJ33" s="14"/>
      <c r="AK33" s="14"/>
      <c r="AL33" s="14"/>
      <c r="AM33" s="14"/>
      <c r="AN33" s="14"/>
      <c r="AO33" s="14"/>
      <c r="AP33" s="14"/>
      <c r="AR33" t="str">
        <f>IF(AR30&lt;$D$14,AR30+1,"")</f>
        <v/>
      </c>
      <c r="AS33" s="70">
        <f>IF(ISNUMBER(AR33),AV30,0)</f>
        <v>0</v>
      </c>
      <c r="AT33" s="70"/>
      <c r="AU33" s="70">
        <f t="shared" si="2"/>
        <v>0</v>
      </c>
      <c r="AV33" s="70">
        <f t="shared" si="6"/>
        <v>0</v>
      </c>
      <c r="AW33">
        <f t="shared" si="7"/>
        <v>0</v>
      </c>
      <c r="AX33" s="71">
        <f>LN(AW33+$J$36)-LN($J$36)</f>
        <v>0</v>
      </c>
      <c r="AY33">
        <f t="shared" si="4"/>
        <v>0</v>
      </c>
    </row>
    <row r="34" spans="1:52" ht="51" customHeight="1" thickBot="1" x14ac:dyDescent="0.25">
      <c r="B34" s="14"/>
      <c r="C34" s="14"/>
      <c r="D34" s="14"/>
      <c r="E34" s="14"/>
      <c r="F34" s="14"/>
      <c r="G34" s="14"/>
      <c r="H34" s="14"/>
      <c r="I34" s="14"/>
      <c r="J34" s="14"/>
      <c r="K34" s="14"/>
      <c r="L34" s="14"/>
      <c r="M34" s="14"/>
      <c r="N34" s="14"/>
      <c r="O34" s="14"/>
      <c r="P34" s="14"/>
      <c r="Q34" s="87"/>
      <c r="R34" s="88"/>
      <c r="S34" s="88"/>
      <c r="T34" s="88"/>
      <c r="U34" s="88"/>
      <c r="V34" s="88"/>
      <c r="W34" s="89"/>
      <c r="X34" s="14"/>
      <c r="Y34" s="14"/>
      <c r="Z34" s="14"/>
      <c r="AA34" s="14"/>
      <c r="AB34" s="14"/>
      <c r="AC34" s="14"/>
      <c r="AD34" s="14"/>
      <c r="AE34" s="14"/>
      <c r="AF34" s="14"/>
      <c r="AG34" s="14"/>
      <c r="AH34" s="14"/>
      <c r="AI34" s="14"/>
      <c r="AJ34" s="14"/>
      <c r="AK34" s="14"/>
      <c r="AL34" s="14"/>
      <c r="AM34" s="14"/>
      <c r="AQ34"/>
      <c r="AR34" t="str">
        <f t="shared" si="1"/>
        <v/>
      </c>
      <c r="AS34" s="70">
        <f t="shared" si="5"/>
        <v>0</v>
      </c>
      <c r="AT34" s="70"/>
      <c r="AU34" s="70">
        <f t="shared" si="2"/>
        <v>0</v>
      </c>
      <c r="AV34" s="70">
        <f t="shared" si="6"/>
        <v>0</v>
      </c>
      <c r="AW34">
        <f t="shared" si="7"/>
        <v>0</v>
      </c>
      <c r="AX34" s="71">
        <f>LN(AW34+$J$36)-LN($J$36)</f>
        <v>0</v>
      </c>
      <c r="AY34">
        <f t="shared" si="4"/>
        <v>0</v>
      </c>
    </row>
    <row r="35" spans="1:52" ht="31.5" customHeight="1" x14ac:dyDescent="0.2">
      <c r="A35" s="14"/>
      <c r="B35" s="644" t="s">
        <v>557</v>
      </c>
      <c r="C35" s="16"/>
      <c r="D35" s="704" t="s">
        <v>552</v>
      </c>
      <c r="E35" s="625"/>
      <c r="F35" s="705"/>
      <c r="G35" s="18" t="s">
        <v>544</v>
      </c>
      <c r="H35" s="647" t="s">
        <v>555</v>
      </c>
      <c r="I35" s="649"/>
      <c r="J35" s="704" t="s">
        <v>554</v>
      </c>
      <c r="K35" s="625"/>
      <c r="L35" s="625"/>
      <c r="M35" s="625"/>
      <c r="N35" s="705"/>
      <c r="O35" s="704" t="s">
        <v>545</v>
      </c>
      <c r="P35" s="705"/>
      <c r="Q35" s="194" t="s">
        <v>546</v>
      </c>
      <c r="R35" s="78" t="s">
        <v>441</v>
      </c>
      <c r="S35" s="208" t="s">
        <v>553</v>
      </c>
      <c r="T35" s="209"/>
      <c r="U35" s="78" t="s">
        <v>435</v>
      </c>
      <c r="V35" s="78" t="s">
        <v>401</v>
      </c>
      <c r="W35" s="84" t="s">
        <v>404</v>
      </c>
      <c r="X35" s="14"/>
      <c r="Y35" s="14"/>
      <c r="Z35" s="14"/>
      <c r="AA35" s="14"/>
      <c r="AB35" s="14"/>
      <c r="AC35" s="14"/>
      <c r="AD35" s="14"/>
      <c r="AE35" s="14"/>
      <c r="AF35" s="14"/>
      <c r="AG35" s="14"/>
      <c r="AH35" s="14"/>
      <c r="AI35" s="14"/>
      <c r="AJ35" s="14"/>
      <c r="AK35" s="14"/>
      <c r="AL35" s="14"/>
      <c r="AM35" s="14"/>
      <c r="AQ35"/>
      <c r="AR35" t="str">
        <f t="shared" si="1"/>
        <v/>
      </c>
      <c r="AS35" s="70">
        <f t="shared" si="5"/>
        <v>0</v>
      </c>
      <c r="AT35" s="70"/>
      <c r="AU35" s="70">
        <f t="shared" si="2"/>
        <v>0</v>
      </c>
      <c r="AV35" s="70">
        <f t="shared" si="6"/>
        <v>0</v>
      </c>
      <c r="AW35">
        <f t="shared" si="7"/>
        <v>0</v>
      </c>
      <c r="AX35" s="71">
        <f>LN(AW35+$J$36)-LN($J$36)</f>
        <v>0</v>
      </c>
      <c r="AY35">
        <f t="shared" si="4"/>
        <v>0</v>
      </c>
      <c r="AZ35"/>
    </row>
    <row r="36" spans="1:52" ht="12" customHeight="1" x14ac:dyDescent="0.2">
      <c r="A36" s="14"/>
      <c r="B36" s="702"/>
      <c r="C36" s="19" t="s">
        <v>548</v>
      </c>
      <c r="D36" s="706">
        <v>0.253</v>
      </c>
      <c r="E36" s="707"/>
      <c r="F36" s="708"/>
      <c r="G36" s="25">
        <v>2.41</v>
      </c>
      <c r="H36" s="653">
        <v>4.7</v>
      </c>
      <c r="I36" s="654"/>
      <c r="J36" s="629">
        <v>285.92</v>
      </c>
      <c r="K36" s="630"/>
      <c r="L36" s="630"/>
      <c r="M36" s="630"/>
      <c r="N36" s="631"/>
      <c r="O36" s="632">
        <v>1000</v>
      </c>
      <c r="P36" s="633"/>
      <c r="Q36" s="77">
        <v>288</v>
      </c>
      <c r="R36" s="79">
        <f>Bednets!$G$44</f>
        <v>2838.2630576673801</v>
      </c>
      <c r="S36" s="227">
        <f>Bednets!$G$43</f>
        <v>3.6112369528824271</v>
      </c>
      <c r="T36" s="210"/>
      <c r="U36" s="144">
        <f>AVERAGE(36.46,36.59)</f>
        <v>36.525000000000006</v>
      </c>
      <c r="V36" s="144">
        <v>15</v>
      </c>
      <c r="W36" s="133">
        <v>0.43099999999999999</v>
      </c>
      <c r="X36" s="14"/>
      <c r="Y36" s="6"/>
      <c r="Z36" s="14"/>
      <c r="AA36" s="14"/>
      <c r="AB36" s="14"/>
      <c r="AC36" s="14"/>
      <c r="AD36" s="14"/>
      <c r="AE36" s="14"/>
      <c r="AF36" s="14"/>
      <c r="AG36" s="14"/>
      <c r="AH36" s="14"/>
      <c r="AI36" s="14"/>
      <c r="AJ36" s="14"/>
      <c r="AK36" s="14"/>
      <c r="AL36" s="14"/>
      <c r="AM36" s="14"/>
      <c r="AN36" s="14"/>
      <c r="AR36" t="str">
        <f t="shared" si="1"/>
        <v/>
      </c>
      <c r="AS36" s="70">
        <f t="shared" si="5"/>
        <v>0</v>
      </c>
      <c r="AT36" s="70"/>
      <c r="AU36" s="70">
        <f t="shared" si="2"/>
        <v>0</v>
      </c>
      <c r="AV36" s="70">
        <f t="shared" si="6"/>
        <v>0</v>
      </c>
      <c r="AW36">
        <f t="shared" si="7"/>
        <v>0</v>
      </c>
      <c r="AX36" s="71">
        <f>LN(AW36+$J$36)-LN($J$36)</f>
        <v>0</v>
      </c>
      <c r="AY36">
        <f t="shared" si="4"/>
        <v>0</v>
      </c>
      <c r="AZ36"/>
    </row>
    <row r="37" spans="1:52" ht="12" customHeight="1" thickBot="1" x14ac:dyDescent="0.25">
      <c r="A37" s="14"/>
      <c r="B37" s="703"/>
      <c r="C37" s="20" t="s">
        <v>549</v>
      </c>
      <c r="D37" s="634" t="s">
        <v>550</v>
      </c>
      <c r="E37" s="635"/>
      <c r="F37" s="635"/>
      <c r="G37" s="636"/>
      <c r="H37" s="699" t="s">
        <v>551</v>
      </c>
      <c r="I37" s="700"/>
      <c r="J37" s="700"/>
      <c r="K37" s="700"/>
      <c r="L37" s="700"/>
      <c r="M37" s="700"/>
      <c r="N37" s="700"/>
      <c r="O37" s="700"/>
      <c r="P37" s="700"/>
      <c r="Q37" s="701"/>
      <c r="R37" s="634" t="s">
        <v>484</v>
      </c>
      <c r="S37" s="635"/>
      <c r="T37" s="636"/>
      <c r="U37" s="145" t="s">
        <v>215</v>
      </c>
      <c r="V37" s="146" t="s">
        <v>402</v>
      </c>
      <c r="W37" s="147" t="s">
        <v>349</v>
      </c>
      <c r="X37" s="14"/>
      <c r="Y37" s="6"/>
      <c r="Z37" s="14"/>
      <c r="AA37" s="14"/>
      <c r="AB37" s="14"/>
      <c r="AC37" s="14"/>
      <c r="AD37" s="14"/>
      <c r="AE37" s="14"/>
      <c r="AF37" s="14"/>
      <c r="AG37" s="14"/>
      <c r="AH37" s="14"/>
      <c r="AI37" s="14"/>
      <c r="AJ37" s="14"/>
      <c r="AK37" s="14"/>
      <c r="AL37" s="14"/>
      <c r="AM37" s="14"/>
      <c r="AN37" s="14"/>
      <c r="AO37" s="14"/>
      <c r="AP37" s="14"/>
      <c r="AR37" t="str">
        <f t="shared" si="1"/>
        <v/>
      </c>
      <c r="AS37" s="70">
        <f t="shared" si="5"/>
        <v>0</v>
      </c>
      <c r="AT37" s="70"/>
      <c r="AU37" s="70">
        <f t="shared" si="2"/>
        <v>0</v>
      </c>
      <c r="AV37" s="70">
        <f t="shared" si="6"/>
        <v>0</v>
      </c>
      <c r="AW37">
        <f t="shared" si="7"/>
        <v>0</v>
      </c>
      <c r="AX37" s="71">
        <f>LN(AW37+$J$36)-LN($J$36)</f>
        <v>0</v>
      </c>
      <c r="AY37">
        <f t="shared" si="4"/>
        <v>0</v>
      </c>
      <c r="AZ37"/>
    </row>
    <row r="38" spans="1:52" s="14" customFormat="1" ht="15" x14ac:dyDescent="0.2">
      <c r="J38" s="120"/>
      <c r="K38" s="120"/>
      <c r="L38" s="120"/>
      <c r="M38" s="120"/>
      <c r="Y38" s="6"/>
      <c r="AR38" s="90" t="str">
        <f t="shared" si="1"/>
        <v/>
      </c>
      <c r="AS38" s="142">
        <f t="shared" si="5"/>
        <v>0</v>
      </c>
      <c r="AT38" s="142"/>
      <c r="AU38" s="142">
        <f t="shared" si="2"/>
        <v>0</v>
      </c>
      <c r="AV38" s="142">
        <f t="shared" si="6"/>
        <v>0</v>
      </c>
      <c r="AW38" s="90">
        <f t="shared" si="7"/>
        <v>0</v>
      </c>
      <c r="AX38" s="143">
        <f t="shared" ref="AX38:AX101" si="8">LN(AW38+$J$36)-LN($J$36)</f>
        <v>0</v>
      </c>
      <c r="AY38" s="90">
        <f t="shared" si="4"/>
        <v>0</v>
      </c>
      <c r="AZ38" s="90"/>
    </row>
    <row r="39" spans="1:52" s="14" customFormat="1" ht="15" x14ac:dyDescent="0.2">
      <c r="AR39" s="90" t="str">
        <f t="shared" si="1"/>
        <v/>
      </c>
      <c r="AS39" s="142">
        <f t="shared" si="5"/>
        <v>0</v>
      </c>
      <c r="AT39" s="142"/>
      <c r="AU39" s="142">
        <f t="shared" si="2"/>
        <v>0</v>
      </c>
      <c r="AV39" s="142">
        <f t="shared" si="6"/>
        <v>0</v>
      </c>
      <c r="AW39" s="90">
        <f t="shared" si="7"/>
        <v>0</v>
      </c>
      <c r="AX39" s="143">
        <f t="shared" si="8"/>
        <v>0</v>
      </c>
      <c r="AY39" s="90">
        <f t="shared" si="4"/>
        <v>0</v>
      </c>
      <c r="AZ39" s="90"/>
    </row>
    <row r="40" spans="1:52" s="14" customFormat="1" ht="15" x14ac:dyDescent="0.2">
      <c r="AR40" s="90" t="str">
        <f t="shared" si="1"/>
        <v/>
      </c>
      <c r="AS40" s="142">
        <f t="shared" si="5"/>
        <v>0</v>
      </c>
      <c r="AT40" s="142"/>
      <c r="AU40" s="142">
        <f t="shared" si="2"/>
        <v>0</v>
      </c>
      <c r="AV40" s="142">
        <f t="shared" si="6"/>
        <v>0</v>
      </c>
      <c r="AW40" s="90">
        <f t="shared" si="7"/>
        <v>0</v>
      </c>
      <c r="AX40" s="143">
        <f t="shared" si="8"/>
        <v>0</v>
      </c>
      <c r="AY40" s="90">
        <f t="shared" si="4"/>
        <v>0</v>
      </c>
      <c r="AZ40" s="90"/>
    </row>
    <row r="41" spans="1:52" s="14" customFormat="1" ht="15" x14ac:dyDescent="0.2">
      <c r="AR41" s="90" t="str">
        <f t="shared" si="1"/>
        <v/>
      </c>
      <c r="AS41" s="142">
        <f t="shared" si="5"/>
        <v>0</v>
      </c>
      <c r="AT41" s="142"/>
      <c r="AU41" s="142">
        <f t="shared" si="2"/>
        <v>0</v>
      </c>
      <c r="AV41" s="142">
        <f t="shared" si="6"/>
        <v>0</v>
      </c>
      <c r="AW41" s="90">
        <f t="shared" si="7"/>
        <v>0</v>
      </c>
      <c r="AX41" s="143">
        <f t="shared" si="8"/>
        <v>0</v>
      </c>
      <c r="AY41" s="90">
        <f t="shared" si="4"/>
        <v>0</v>
      </c>
      <c r="AZ41" s="90"/>
    </row>
    <row r="42" spans="1:52" s="14" customFormat="1" ht="15" x14ac:dyDescent="0.2">
      <c r="AR42" s="90" t="str">
        <f t="shared" si="1"/>
        <v/>
      </c>
      <c r="AS42" s="142">
        <f t="shared" si="5"/>
        <v>0</v>
      </c>
      <c r="AT42" s="142"/>
      <c r="AU42" s="142">
        <f t="shared" si="2"/>
        <v>0</v>
      </c>
      <c r="AV42" s="142">
        <f t="shared" si="6"/>
        <v>0</v>
      </c>
      <c r="AW42" s="90">
        <f t="shared" si="7"/>
        <v>0</v>
      </c>
      <c r="AX42" s="143">
        <f t="shared" si="8"/>
        <v>0</v>
      </c>
      <c r="AY42" s="90">
        <f t="shared" si="4"/>
        <v>0</v>
      </c>
      <c r="AZ42" s="90"/>
    </row>
    <row r="43" spans="1:52" s="14" customFormat="1" ht="15" x14ac:dyDescent="0.2">
      <c r="AR43" s="90" t="str">
        <f t="shared" si="1"/>
        <v/>
      </c>
      <c r="AS43" s="142">
        <f t="shared" si="5"/>
        <v>0</v>
      </c>
      <c r="AT43" s="142"/>
      <c r="AU43" s="142">
        <f t="shared" si="2"/>
        <v>0</v>
      </c>
      <c r="AV43" s="142">
        <f t="shared" si="6"/>
        <v>0</v>
      </c>
      <c r="AW43" s="90">
        <f t="shared" si="7"/>
        <v>0</v>
      </c>
      <c r="AX43" s="143">
        <f t="shared" si="8"/>
        <v>0</v>
      </c>
      <c r="AY43" s="90">
        <f t="shared" si="4"/>
        <v>0</v>
      </c>
      <c r="AZ43" s="90"/>
    </row>
    <row r="44" spans="1:52" s="14" customFormat="1" ht="15" x14ac:dyDescent="0.2">
      <c r="AR44" s="90" t="str">
        <f t="shared" si="1"/>
        <v/>
      </c>
      <c r="AS44" s="142">
        <f t="shared" si="5"/>
        <v>0</v>
      </c>
      <c r="AT44" s="142"/>
      <c r="AU44" s="142">
        <f t="shared" si="2"/>
        <v>0</v>
      </c>
      <c r="AV44" s="142">
        <f t="shared" si="6"/>
        <v>0</v>
      </c>
      <c r="AW44" s="90">
        <f t="shared" si="7"/>
        <v>0</v>
      </c>
      <c r="AX44" s="143">
        <f t="shared" si="8"/>
        <v>0</v>
      </c>
      <c r="AY44" s="90">
        <f t="shared" si="4"/>
        <v>0</v>
      </c>
      <c r="AZ44" s="90"/>
    </row>
    <row r="45" spans="1:52" s="14" customFormat="1" ht="15" x14ac:dyDescent="0.2">
      <c r="AR45" s="90" t="str">
        <f t="shared" si="1"/>
        <v/>
      </c>
      <c r="AS45" s="142">
        <f t="shared" si="5"/>
        <v>0</v>
      </c>
      <c r="AT45" s="142"/>
      <c r="AU45" s="142">
        <f t="shared" si="2"/>
        <v>0</v>
      </c>
      <c r="AV45" s="142">
        <f t="shared" si="6"/>
        <v>0</v>
      </c>
      <c r="AW45" s="90">
        <f t="shared" si="7"/>
        <v>0</v>
      </c>
      <c r="AX45" s="143">
        <f t="shared" si="8"/>
        <v>0</v>
      </c>
      <c r="AY45" s="90">
        <f t="shared" si="4"/>
        <v>0</v>
      </c>
      <c r="AZ45" s="90"/>
    </row>
    <row r="46" spans="1:52" s="14" customFormat="1" ht="15" x14ac:dyDescent="0.2">
      <c r="AR46" s="90" t="str">
        <f t="shared" si="1"/>
        <v/>
      </c>
      <c r="AS46" s="142">
        <f t="shared" si="5"/>
        <v>0</v>
      </c>
      <c r="AT46" s="142"/>
      <c r="AU46" s="142">
        <f t="shared" si="2"/>
        <v>0</v>
      </c>
      <c r="AV46" s="142">
        <f t="shared" si="6"/>
        <v>0</v>
      </c>
      <c r="AW46" s="90">
        <f t="shared" si="7"/>
        <v>0</v>
      </c>
      <c r="AX46" s="143">
        <f t="shared" si="8"/>
        <v>0</v>
      </c>
      <c r="AY46" s="90">
        <f t="shared" si="4"/>
        <v>0</v>
      </c>
      <c r="AZ46" s="90"/>
    </row>
    <row r="47" spans="1:52" s="14" customFormat="1" ht="15" x14ac:dyDescent="0.2">
      <c r="AR47" s="90" t="str">
        <f t="shared" si="1"/>
        <v/>
      </c>
      <c r="AS47" s="142">
        <f t="shared" si="5"/>
        <v>0</v>
      </c>
      <c r="AT47" s="142"/>
      <c r="AU47" s="142">
        <f t="shared" si="2"/>
        <v>0</v>
      </c>
      <c r="AV47" s="142">
        <f t="shared" si="6"/>
        <v>0</v>
      </c>
      <c r="AW47" s="90">
        <f t="shared" si="7"/>
        <v>0</v>
      </c>
      <c r="AX47" s="143">
        <f t="shared" si="8"/>
        <v>0</v>
      </c>
      <c r="AY47" s="90">
        <f t="shared" si="4"/>
        <v>0</v>
      </c>
      <c r="AZ47" s="90"/>
    </row>
    <row r="48" spans="1:52" s="14" customFormat="1" ht="15" x14ac:dyDescent="0.2">
      <c r="AR48" s="90" t="str">
        <f t="shared" si="1"/>
        <v/>
      </c>
      <c r="AS48" s="142">
        <f t="shared" si="5"/>
        <v>0</v>
      </c>
      <c r="AT48" s="142"/>
      <c r="AU48" s="142">
        <f t="shared" si="2"/>
        <v>0</v>
      </c>
      <c r="AV48" s="142">
        <f t="shared" si="6"/>
        <v>0</v>
      </c>
      <c r="AW48" s="90">
        <f t="shared" si="7"/>
        <v>0</v>
      </c>
      <c r="AX48" s="143">
        <f t="shared" si="8"/>
        <v>0</v>
      </c>
      <c r="AY48" s="90">
        <f t="shared" si="4"/>
        <v>0</v>
      </c>
      <c r="AZ48" s="90"/>
    </row>
    <row r="49" spans="44:52" s="14" customFormat="1" ht="15" x14ac:dyDescent="0.2">
      <c r="AR49" s="90" t="str">
        <f t="shared" si="1"/>
        <v/>
      </c>
      <c r="AS49" s="142">
        <f t="shared" si="5"/>
        <v>0</v>
      </c>
      <c r="AT49" s="142"/>
      <c r="AU49" s="142">
        <f t="shared" si="2"/>
        <v>0</v>
      </c>
      <c r="AV49" s="142">
        <f t="shared" si="6"/>
        <v>0</v>
      </c>
      <c r="AW49" s="90">
        <f t="shared" si="7"/>
        <v>0</v>
      </c>
      <c r="AX49" s="143">
        <f t="shared" si="8"/>
        <v>0</v>
      </c>
      <c r="AY49" s="90">
        <f t="shared" si="4"/>
        <v>0</v>
      </c>
      <c r="AZ49" s="90"/>
    </row>
    <row r="50" spans="44:52" s="14" customFormat="1" ht="15" x14ac:dyDescent="0.2">
      <c r="AR50" s="90" t="str">
        <f t="shared" si="1"/>
        <v/>
      </c>
      <c r="AS50" s="142">
        <f t="shared" si="5"/>
        <v>0</v>
      </c>
      <c r="AT50" s="142"/>
      <c r="AU50" s="142">
        <f t="shared" si="2"/>
        <v>0</v>
      </c>
      <c r="AV50" s="142">
        <f t="shared" si="6"/>
        <v>0</v>
      </c>
      <c r="AW50" s="90">
        <f t="shared" si="7"/>
        <v>0</v>
      </c>
      <c r="AX50" s="143">
        <f t="shared" si="8"/>
        <v>0</v>
      </c>
      <c r="AY50" s="90">
        <f t="shared" si="4"/>
        <v>0</v>
      </c>
      <c r="AZ50" s="90"/>
    </row>
    <row r="51" spans="44:52" s="14" customFormat="1" ht="15" x14ac:dyDescent="0.2">
      <c r="AR51" s="90" t="str">
        <f t="shared" si="1"/>
        <v/>
      </c>
      <c r="AS51" s="142">
        <f t="shared" si="5"/>
        <v>0</v>
      </c>
      <c r="AT51" s="142"/>
      <c r="AU51" s="142">
        <f t="shared" si="2"/>
        <v>0</v>
      </c>
      <c r="AV51" s="142">
        <f t="shared" si="6"/>
        <v>0</v>
      </c>
      <c r="AW51" s="90">
        <f t="shared" si="7"/>
        <v>0</v>
      </c>
      <c r="AX51" s="143">
        <f t="shared" si="8"/>
        <v>0</v>
      </c>
      <c r="AY51" s="90">
        <f t="shared" si="4"/>
        <v>0</v>
      </c>
      <c r="AZ51" s="90"/>
    </row>
    <row r="52" spans="44:52" s="14" customFormat="1" ht="15" x14ac:dyDescent="0.2">
      <c r="AR52" s="90" t="str">
        <f t="shared" si="1"/>
        <v/>
      </c>
      <c r="AS52" s="142">
        <f t="shared" si="5"/>
        <v>0</v>
      </c>
      <c r="AT52" s="142"/>
      <c r="AU52" s="142">
        <f t="shared" si="2"/>
        <v>0</v>
      </c>
      <c r="AV52" s="142">
        <f t="shared" si="6"/>
        <v>0</v>
      </c>
      <c r="AW52" s="90">
        <f t="shared" si="7"/>
        <v>0</v>
      </c>
      <c r="AX52" s="143">
        <f t="shared" si="8"/>
        <v>0</v>
      </c>
      <c r="AY52" s="90">
        <f t="shared" si="4"/>
        <v>0</v>
      </c>
      <c r="AZ52" s="90"/>
    </row>
    <row r="53" spans="44:52" s="14" customFormat="1" ht="15" x14ac:dyDescent="0.2">
      <c r="AR53" s="90" t="str">
        <f t="shared" si="1"/>
        <v/>
      </c>
      <c r="AS53" s="142">
        <f t="shared" si="5"/>
        <v>0</v>
      </c>
      <c r="AT53" s="142"/>
      <c r="AU53" s="142">
        <f t="shared" si="2"/>
        <v>0</v>
      </c>
      <c r="AV53" s="142">
        <f t="shared" si="6"/>
        <v>0</v>
      </c>
      <c r="AW53" s="90">
        <f t="shared" si="7"/>
        <v>0</v>
      </c>
      <c r="AX53" s="143">
        <f t="shared" si="8"/>
        <v>0</v>
      </c>
      <c r="AY53" s="90">
        <f t="shared" si="4"/>
        <v>0</v>
      </c>
      <c r="AZ53" s="90"/>
    </row>
    <row r="54" spans="44:52" s="14" customFormat="1" ht="15" x14ac:dyDescent="0.2">
      <c r="AR54" s="90" t="str">
        <f t="shared" si="1"/>
        <v/>
      </c>
      <c r="AS54" s="142">
        <f t="shared" si="5"/>
        <v>0</v>
      </c>
      <c r="AT54" s="142"/>
      <c r="AU54" s="142">
        <f t="shared" si="2"/>
        <v>0</v>
      </c>
      <c r="AV54" s="142">
        <f t="shared" si="6"/>
        <v>0</v>
      </c>
      <c r="AW54" s="90">
        <f t="shared" si="7"/>
        <v>0</v>
      </c>
      <c r="AX54" s="143">
        <f t="shared" si="8"/>
        <v>0</v>
      </c>
      <c r="AY54" s="90">
        <f t="shared" si="4"/>
        <v>0</v>
      </c>
      <c r="AZ54" s="90"/>
    </row>
    <row r="55" spans="44:52" s="14" customFormat="1" ht="15" x14ac:dyDescent="0.2">
      <c r="AR55" s="90" t="str">
        <f t="shared" si="1"/>
        <v/>
      </c>
      <c r="AS55" s="142">
        <f t="shared" si="5"/>
        <v>0</v>
      </c>
      <c r="AT55" s="142"/>
      <c r="AU55" s="142">
        <f t="shared" si="2"/>
        <v>0</v>
      </c>
      <c r="AV55" s="142">
        <f t="shared" si="6"/>
        <v>0</v>
      </c>
      <c r="AW55" s="90">
        <f t="shared" si="7"/>
        <v>0</v>
      </c>
      <c r="AX55" s="143">
        <f t="shared" si="8"/>
        <v>0</v>
      </c>
      <c r="AY55" s="90">
        <f t="shared" si="4"/>
        <v>0</v>
      </c>
      <c r="AZ55" s="90"/>
    </row>
    <row r="56" spans="44:52" s="14" customFormat="1" ht="15" x14ac:dyDescent="0.2">
      <c r="AR56" s="90" t="str">
        <f t="shared" si="1"/>
        <v/>
      </c>
      <c r="AS56" s="142">
        <f t="shared" si="5"/>
        <v>0</v>
      </c>
      <c r="AT56" s="142"/>
      <c r="AU56" s="142">
        <f t="shared" si="2"/>
        <v>0</v>
      </c>
      <c r="AV56" s="142">
        <f t="shared" si="6"/>
        <v>0</v>
      </c>
      <c r="AW56" s="90">
        <f t="shared" si="7"/>
        <v>0</v>
      </c>
      <c r="AX56" s="143">
        <f t="shared" si="8"/>
        <v>0</v>
      </c>
      <c r="AY56" s="90">
        <f t="shared" si="4"/>
        <v>0</v>
      </c>
      <c r="AZ56" s="90"/>
    </row>
    <row r="57" spans="44:52" s="14" customFormat="1" ht="15" x14ac:dyDescent="0.2">
      <c r="AR57" s="90" t="str">
        <f t="shared" si="1"/>
        <v/>
      </c>
      <c r="AS57" s="142">
        <f t="shared" si="5"/>
        <v>0</v>
      </c>
      <c r="AT57" s="142"/>
      <c r="AU57" s="142">
        <f t="shared" si="2"/>
        <v>0</v>
      </c>
      <c r="AV57" s="142">
        <f t="shared" si="6"/>
        <v>0</v>
      </c>
      <c r="AW57" s="90">
        <f t="shared" si="7"/>
        <v>0</v>
      </c>
      <c r="AX57" s="143">
        <f t="shared" si="8"/>
        <v>0</v>
      </c>
      <c r="AY57" s="90">
        <f t="shared" si="4"/>
        <v>0</v>
      </c>
      <c r="AZ57" s="90"/>
    </row>
    <row r="58" spans="44:52" s="14" customFormat="1" ht="15" x14ac:dyDescent="0.2">
      <c r="AR58" s="90" t="str">
        <f t="shared" si="1"/>
        <v/>
      </c>
      <c r="AS58" s="142">
        <f t="shared" si="5"/>
        <v>0</v>
      </c>
      <c r="AT58" s="142"/>
      <c r="AU58" s="142">
        <f t="shared" si="2"/>
        <v>0</v>
      </c>
      <c r="AV58" s="142">
        <f t="shared" si="6"/>
        <v>0</v>
      </c>
      <c r="AW58" s="90">
        <f t="shared" si="7"/>
        <v>0</v>
      </c>
      <c r="AX58" s="143">
        <f t="shared" si="8"/>
        <v>0</v>
      </c>
      <c r="AY58" s="90">
        <f t="shared" si="4"/>
        <v>0</v>
      </c>
      <c r="AZ58" s="90"/>
    </row>
    <row r="59" spans="44:52" s="14" customFormat="1" ht="15" x14ac:dyDescent="0.2">
      <c r="AR59" s="90" t="str">
        <f t="shared" si="1"/>
        <v/>
      </c>
      <c r="AS59" s="142">
        <f t="shared" si="5"/>
        <v>0</v>
      </c>
      <c r="AT59" s="142"/>
      <c r="AU59" s="142">
        <f t="shared" si="2"/>
        <v>0</v>
      </c>
      <c r="AV59" s="142">
        <f t="shared" si="6"/>
        <v>0</v>
      </c>
      <c r="AW59" s="90">
        <f t="shared" si="7"/>
        <v>0</v>
      </c>
      <c r="AX59" s="143">
        <f t="shared" si="8"/>
        <v>0</v>
      </c>
      <c r="AY59" s="90">
        <f t="shared" si="4"/>
        <v>0</v>
      </c>
      <c r="AZ59" s="90"/>
    </row>
    <row r="60" spans="44:52" s="14" customFormat="1" ht="15" x14ac:dyDescent="0.2">
      <c r="AR60" s="90" t="str">
        <f t="shared" si="1"/>
        <v/>
      </c>
      <c r="AS60" s="142">
        <f t="shared" si="5"/>
        <v>0</v>
      </c>
      <c r="AT60" s="142"/>
      <c r="AU60" s="142">
        <f t="shared" si="2"/>
        <v>0</v>
      </c>
      <c r="AV60" s="142">
        <f t="shared" si="6"/>
        <v>0</v>
      </c>
      <c r="AW60" s="90">
        <f t="shared" si="7"/>
        <v>0</v>
      </c>
      <c r="AX60" s="143">
        <f t="shared" si="8"/>
        <v>0</v>
      </c>
      <c r="AY60" s="90">
        <f t="shared" si="4"/>
        <v>0</v>
      </c>
      <c r="AZ60" s="90"/>
    </row>
    <row r="61" spans="44:52" s="14" customFormat="1" ht="15" x14ac:dyDescent="0.2">
      <c r="AR61" s="90" t="str">
        <f t="shared" si="1"/>
        <v/>
      </c>
      <c r="AS61" s="142">
        <f t="shared" si="5"/>
        <v>0</v>
      </c>
      <c r="AT61" s="142"/>
      <c r="AU61" s="142">
        <f t="shared" si="2"/>
        <v>0</v>
      </c>
      <c r="AV61" s="142">
        <f t="shared" si="6"/>
        <v>0</v>
      </c>
      <c r="AW61" s="90">
        <f t="shared" si="7"/>
        <v>0</v>
      </c>
      <c r="AX61" s="143">
        <f t="shared" si="8"/>
        <v>0</v>
      </c>
      <c r="AY61" s="90">
        <f t="shared" si="4"/>
        <v>0</v>
      </c>
      <c r="AZ61" s="90"/>
    </row>
    <row r="62" spans="44:52" s="14" customFormat="1" ht="15" x14ac:dyDescent="0.2">
      <c r="AR62" s="90" t="str">
        <f t="shared" si="1"/>
        <v/>
      </c>
      <c r="AS62" s="142">
        <f t="shared" si="5"/>
        <v>0</v>
      </c>
      <c r="AT62" s="142"/>
      <c r="AU62" s="142">
        <f t="shared" si="2"/>
        <v>0</v>
      </c>
      <c r="AV62" s="142">
        <f t="shared" si="6"/>
        <v>0</v>
      </c>
      <c r="AW62" s="90">
        <f t="shared" si="7"/>
        <v>0</v>
      </c>
      <c r="AX62" s="143">
        <f t="shared" si="8"/>
        <v>0</v>
      </c>
      <c r="AY62" s="90">
        <f t="shared" si="4"/>
        <v>0</v>
      </c>
      <c r="AZ62" s="90"/>
    </row>
    <row r="63" spans="44:52" s="14" customFormat="1" ht="15" x14ac:dyDescent="0.2">
      <c r="AR63" s="90" t="str">
        <f t="shared" si="1"/>
        <v/>
      </c>
      <c r="AS63" s="142">
        <f t="shared" si="5"/>
        <v>0</v>
      </c>
      <c r="AT63" s="142"/>
      <c r="AU63" s="142">
        <f t="shared" si="2"/>
        <v>0</v>
      </c>
      <c r="AV63" s="142">
        <f t="shared" si="6"/>
        <v>0</v>
      </c>
      <c r="AW63" s="90">
        <f t="shared" si="7"/>
        <v>0</v>
      </c>
      <c r="AX63" s="143">
        <f t="shared" si="8"/>
        <v>0</v>
      </c>
      <c r="AY63" s="90">
        <f t="shared" si="4"/>
        <v>0</v>
      </c>
      <c r="AZ63" s="90"/>
    </row>
    <row r="64" spans="44:52" s="14" customFormat="1" ht="15" x14ac:dyDescent="0.2">
      <c r="AR64" s="90" t="str">
        <f t="shared" si="1"/>
        <v/>
      </c>
      <c r="AS64" s="142">
        <f t="shared" si="5"/>
        <v>0</v>
      </c>
      <c r="AT64" s="142"/>
      <c r="AU64" s="142">
        <f t="shared" si="2"/>
        <v>0</v>
      </c>
      <c r="AV64" s="142">
        <f t="shared" si="6"/>
        <v>0</v>
      </c>
      <c r="AW64" s="90">
        <f t="shared" si="7"/>
        <v>0</v>
      </c>
      <c r="AX64" s="143">
        <f t="shared" si="8"/>
        <v>0</v>
      </c>
      <c r="AY64" s="90">
        <f t="shared" si="4"/>
        <v>0</v>
      </c>
      <c r="AZ64" s="90"/>
    </row>
    <row r="65" spans="44:52" s="14" customFormat="1" ht="15" x14ac:dyDescent="0.2">
      <c r="AR65" s="90" t="str">
        <f t="shared" si="1"/>
        <v/>
      </c>
      <c r="AS65" s="142">
        <f t="shared" si="5"/>
        <v>0</v>
      </c>
      <c r="AT65" s="142"/>
      <c r="AU65" s="142">
        <f t="shared" si="2"/>
        <v>0</v>
      </c>
      <c r="AV65" s="142">
        <f t="shared" si="6"/>
        <v>0</v>
      </c>
      <c r="AW65" s="90">
        <f t="shared" si="7"/>
        <v>0</v>
      </c>
      <c r="AX65" s="143">
        <f t="shared" si="8"/>
        <v>0</v>
      </c>
      <c r="AY65" s="90">
        <f t="shared" si="4"/>
        <v>0</v>
      </c>
      <c r="AZ65" s="90"/>
    </row>
    <row r="66" spans="44:52" s="14" customFormat="1" ht="15" x14ac:dyDescent="0.2">
      <c r="AR66" s="90" t="str">
        <f t="shared" si="1"/>
        <v/>
      </c>
      <c r="AS66" s="142">
        <f t="shared" si="5"/>
        <v>0</v>
      </c>
      <c r="AT66" s="142"/>
      <c r="AU66" s="142">
        <f t="shared" si="2"/>
        <v>0</v>
      </c>
      <c r="AV66" s="142">
        <f t="shared" si="6"/>
        <v>0</v>
      </c>
      <c r="AW66" s="90">
        <f t="shared" si="7"/>
        <v>0</v>
      </c>
      <c r="AX66" s="143">
        <f t="shared" si="8"/>
        <v>0</v>
      </c>
      <c r="AY66" s="90">
        <f t="shared" si="4"/>
        <v>0</v>
      </c>
      <c r="AZ66" s="90"/>
    </row>
    <row r="67" spans="44:52" s="14" customFormat="1" ht="15" x14ac:dyDescent="0.2">
      <c r="AR67" s="90" t="str">
        <f t="shared" si="1"/>
        <v/>
      </c>
      <c r="AS67" s="142">
        <f t="shared" si="5"/>
        <v>0</v>
      </c>
      <c r="AT67" s="142"/>
      <c r="AU67" s="142">
        <f t="shared" si="2"/>
        <v>0</v>
      </c>
      <c r="AV67" s="142">
        <f t="shared" si="6"/>
        <v>0</v>
      </c>
      <c r="AW67" s="90">
        <f t="shared" si="7"/>
        <v>0</v>
      </c>
      <c r="AX67" s="143">
        <f t="shared" si="8"/>
        <v>0</v>
      </c>
      <c r="AY67" s="90">
        <f t="shared" si="4"/>
        <v>0</v>
      </c>
      <c r="AZ67" s="90"/>
    </row>
    <row r="68" spans="44:52" s="14" customFormat="1" ht="15" x14ac:dyDescent="0.2">
      <c r="AR68" s="90" t="str">
        <f t="shared" si="1"/>
        <v/>
      </c>
      <c r="AS68" s="142">
        <f t="shared" si="5"/>
        <v>0</v>
      </c>
      <c r="AT68" s="142"/>
      <c r="AU68" s="142">
        <f t="shared" si="2"/>
        <v>0</v>
      </c>
      <c r="AV68" s="142">
        <f t="shared" si="6"/>
        <v>0</v>
      </c>
      <c r="AW68" s="90">
        <f t="shared" si="7"/>
        <v>0</v>
      </c>
      <c r="AX68" s="143">
        <f t="shared" si="8"/>
        <v>0</v>
      </c>
      <c r="AY68" s="90">
        <f t="shared" si="4"/>
        <v>0</v>
      </c>
      <c r="AZ68" s="90"/>
    </row>
    <row r="69" spans="44:52" s="14" customFormat="1" ht="15" x14ac:dyDescent="0.2">
      <c r="AR69" s="90" t="str">
        <f t="shared" ref="AR69:AR113" si="9">IF(AR68&lt;$D$14,AR68+1,"")</f>
        <v/>
      </c>
      <c r="AS69" s="142">
        <f t="shared" si="5"/>
        <v>0</v>
      </c>
      <c r="AT69" s="142"/>
      <c r="AU69" s="142">
        <f t="shared" si="2"/>
        <v>0</v>
      </c>
      <c r="AV69" s="142">
        <f t="shared" si="6"/>
        <v>0</v>
      </c>
      <c r="AW69" s="90">
        <f t="shared" si="7"/>
        <v>0</v>
      </c>
      <c r="AX69" s="143">
        <f t="shared" si="8"/>
        <v>0</v>
      </c>
      <c r="AY69" s="90">
        <f t="shared" si="4"/>
        <v>0</v>
      </c>
      <c r="AZ69" s="90"/>
    </row>
    <row r="70" spans="44:52" s="14" customFormat="1" ht="15" x14ac:dyDescent="0.2">
      <c r="AR70" s="90" t="str">
        <f t="shared" si="9"/>
        <v/>
      </c>
      <c r="AS70" s="142">
        <f t="shared" si="5"/>
        <v>0</v>
      </c>
      <c r="AT70" s="142"/>
      <c r="AU70" s="142">
        <f t="shared" si="2"/>
        <v>0</v>
      </c>
      <c r="AV70" s="142">
        <f t="shared" si="6"/>
        <v>0</v>
      </c>
      <c r="AW70" s="90">
        <f t="shared" si="7"/>
        <v>0</v>
      </c>
      <c r="AX70" s="143">
        <f t="shared" si="8"/>
        <v>0</v>
      </c>
      <c r="AY70" s="90">
        <f t="shared" si="4"/>
        <v>0</v>
      </c>
      <c r="AZ70" s="90"/>
    </row>
    <row r="71" spans="44:52" s="14" customFormat="1" ht="15" x14ac:dyDescent="0.2">
      <c r="AR71" s="90" t="str">
        <f t="shared" si="9"/>
        <v/>
      </c>
      <c r="AS71" s="142">
        <f t="shared" si="5"/>
        <v>0</v>
      </c>
      <c r="AT71" s="142"/>
      <c r="AU71" s="142">
        <f t="shared" ref="AU71:AU113" si="10">$D$10*AS71</f>
        <v>0</v>
      </c>
      <c r="AV71" s="142">
        <f t="shared" si="6"/>
        <v>0</v>
      </c>
      <c r="AW71" s="90">
        <f t="shared" si="7"/>
        <v>0</v>
      </c>
      <c r="AX71" s="143">
        <f t="shared" si="8"/>
        <v>0</v>
      </c>
      <c r="AY71" s="90">
        <f t="shared" ref="AY71:AY113" si="11">IF(ISNUMBER(AR71),AX71/(1+$D$7)^AR71,0)</f>
        <v>0</v>
      </c>
      <c r="AZ71" s="90"/>
    </row>
    <row r="72" spans="44:52" s="14" customFormat="1" ht="15" x14ac:dyDescent="0.2">
      <c r="AR72" s="90" t="str">
        <f t="shared" si="9"/>
        <v/>
      </c>
      <c r="AS72" s="142">
        <f t="shared" ref="AS72:AS113" si="12">IF(ISNUMBER(AR72),AV71,0)</f>
        <v>0</v>
      </c>
      <c r="AT72" s="142"/>
      <c r="AU72" s="142">
        <f t="shared" si="10"/>
        <v>0</v>
      </c>
      <c r="AV72" s="142">
        <f t="shared" ref="AV72:AV113" si="13">AS72</f>
        <v>0</v>
      </c>
      <c r="AW72" s="90">
        <f t="shared" si="7"/>
        <v>0</v>
      </c>
      <c r="AX72" s="143">
        <f t="shared" si="8"/>
        <v>0</v>
      </c>
      <c r="AY72" s="90">
        <f t="shared" si="11"/>
        <v>0</v>
      </c>
      <c r="AZ72" s="90"/>
    </row>
    <row r="73" spans="44:52" s="14" customFormat="1" ht="15" x14ac:dyDescent="0.2">
      <c r="AR73" s="90" t="str">
        <f t="shared" si="9"/>
        <v/>
      </c>
      <c r="AS73" s="142">
        <f t="shared" si="12"/>
        <v>0</v>
      </c>
      <c r="AT73" s="142"/>
      <c r="AU73" s="142">
        <f t="shared" si="10"/>
        <v>0</v>
      </c>
      <c r="AV73" s="142">
        <f t="shared" si="13"/>
        <v>0</v>
      </c>
      <c r="AW73" s="90">
        <f t="shared" si="7"/>
        <v>0</v>
      </c>
      <c r="AX73" s="143">
        <f t="shared" si="8"/>
        <v>0</v>
      </c>
      <c r="AY73" s="90">
        <f t="shared" si="11"/>
        <v>0</v>
      </c>
      <c r="AZ73" s="90"/>
    </row>
    <row r="74" spans="44:52" s="14" customFormat="1" ht="15" x14ac:dyDescent="0.2">
      <c r="AR74" s="90" t="str">
        <f t="shared" si="9"/>
        <v/>
      </c>
      <c r="AS74" s="142">
        <f t="shared" si="12"/>
        <v>0</v>
      </c>
      <c r="AT74" s="142"/>
      <c r="AU74" s="142">
        <f t="shared" si="10"/>
        <v>0</v>
      </c>
      <c r="AV74" s="142">
        <f t="shared" si="13"/>
        <v>0</v>
      </c>
      <c r="AW74" s="90">
        <f t="shared" si="7"/>
        <v>0</v>
      </c>
      <c r="AX74" s="143">
        <f t="shared" si="8"/>
        <v>0</v>
      </c>
      <c r="AY74" s="90">
        <f t="shared" si="11"/>
        <v>0</v>
      </c>
      <c r="AZ74" s="90"/>
    </row>
    <row r="75" spans="44:52" s="14" customFormat="1" ht="15" x14ac:dyDescent="0.2">
      <c r="AR75" s="90" t="str">
        <f t="shared" si="9"/>
        <v/>
      </c>
      <c r="AS75" s="142">
        <f t="shared" si="12"/>
        <v>0</v>
      </c>
      <c r="AT75" s="142"/>
      <c r="AU75" s="142">
        <f t="shared" si="10"/>
        <v>0</v>
      </c>
      <c r="AV75" s="142">
        <f t="shared" si="13"/>
        <v>0</v>
      </c>
      <c r="AW75" s="90">
        <f t="shared" si="7"/>
        <v>0</v>
      </c>
      <c r="AX75" s="143">
        <f t="shared" si="8"/>
        <v>0</v>
      </c>
      <c r="AY75" s="90">
        <f t="shared" si="11"/>
        <v>0</v>
      </c>
      <c r="AZ75" s="90"/>
    </row>
    <row r="76" spans="44:52" s="14" customFormat="1" ht="15" x14ac:dyDescent="0.2">
      <c r="AR76" s="90" t="str">
        <f t="shared" si="9"/>
        <v/>
      </c>
      <c r="AS76" s="142">
        <f t="shared" si="12"/>
        <v>0</v>
      </c>
      <c r="AT76" s="142"/>
      <c r="AU76" s="142">
        <f t="shared" si="10"/>
        <v>0</v>
      </c>
      <c r="AV76" s="142">
        <f t="shared" si="13"/>
        <v>0</v>
      </c>
      <c r="AW76" s="90">
        <f t="shared" si="7"/>
        <v>0</v>
      </c>
      <c r="AX76" s="143">
        <f t="shared" si="8"/>
        <v>0</v>
      </c>
      <c r="AY76" s="90">
        <f t="shared" si="11"/>
        <v>0</v>
      </c>
      <c r="AZ76" s="90"/>
    </row>
    <row r="77" spans="44:52" s="14" customFormat="1" ht="15" x14ac:dyDescent="0.2">
      <c r="AR77" s="90" t="str">
        <f t="shared" si="9"/>
        <v/>
      </c>
      <c r="AS77" s="142">
        <f t="shared" si="12"/>
        <v>0</v>
      </c>
      <c r="AT77" s="142"/>
      <c r="AU77" s="142">
        <f t="shared" si="10"/>
        <v>0</v>
      </c>
      <c r="AV77" s="142">
        <f t="shared" si="13"/>
        <v>0</v>
      </c>
      <c r="AW77" s="90">
        <f t="shared" si="7"/>
        <v>0</v>
      </c>
      <c r="AX77" s="143">
        <f t="shared" si="8"/>
        <v>0</v>
      </c>
      <c r="AY77" s="90">
        <f t="shared" si="11"/>
        <v>0</v>
      </c>
      <c r="AZ77" s="90"/>
    </row>
    <row r="78" spans="44:52" s="14" customFormat="1" ht="15" x14ac:dyDescent="0.2">
      <c r="AR78" s="90" t="str">
        <f t="shared" si="9"/>
        <v/>
      </c>
      <c r="AS78" s="142">
        <f t="shared" si="12"/>
        <v>0</v>
      </c>
      <c r="AT78" s="142"/>
      <c r="AU78" s="142">
        <f t="shared" si="10"/>
        <v>0</v>
      </c>
      <c r="AV78" s="142">
        <f t="shared" si="13"/>
        <v>0</v>
      </c>
      <c r="AW78" s="90">
        <f t="shared" si="7"/>
        <v>0</v>
      </c>
      <c r="AX78" s="143">
        <f t="shared" si="8"/>
        <v>0</v>
      </c>
      <c r="AY78" s="90">
        <f t="shared" si="11"/>
        <v>0</v>
      </c>
      <c r="AZ78" s="90"/>
    </row>
    <row r="79" spans="44:52" s="14" customFormat="1" ht="15" x14ac:dyDescent="0.2">
      <c r="AR79" s="90" t="str">
        <f t="shared" si="9"/>
        <v/>
      </c>
      <c r="AS79" s="142">
        <f t="shared" si="12"/>
        <v>0</v>
      </c>
      <c r="AT79" s="142"/>
      <c r="AU79" s="142">
        <f t="shared" si="10"/>
        <v>0</v>
      </c>
      <c r="AV79" s="142">
        <f t="shared" si="13"/>
        <v>0</v>
      </c>
      <c r="AW79" s="90">
        <f t="shared" si="7"/>
        <v>0</v>
      </c>
      <c r="AX79" s="143">
        <f t="shared" si="8"/>
        <v>0</v>
      </c>
      <c r="AY79" s="90">
        <f t="shared" si="11"/>
        <v>0</v>
      </c>
      <c r="AZ79" s="90"/>
    </row>
    <row r="80" spans="44:52" s="14" customFormat="1" ht="15" x14ac:dyDescent="0.2">
      <c r="AR80" s="90" t="str">
        <f t="shared" si="9"/>
        <v/>
      </c>
      <c r="AS80" s="142">
        <f t="shared" si="12"/>
        <v>0</v>
      </c>
      <c r="AT80" s="142"/>
      <c r="AU80" s="142">
        <f t="shared" si="10"/>
        <v>0</v>
      </c>
      <c r="AV80" s="142">
        <f t="shared" si="13"/>
        <v>0</v>
      </c>
      <c r="AW80" s="90">
        <f t="shared" si="7"/>
        <v>0</v>
      </c>
      <c r="AX80" s="143">
        <f t="shared" si="8"/>
        <v>0</v>
      </c>
      <c r="AY80" s="90">
        <f t="shared" si="11"/>
        <v>0</v>
      </c>
      <c r="AZ80" s="90"/>
    </row>
    <row r="81" spans="44:52" s="14" customFormat="1" ht="15" x14ac:dyDescent="0.2">
      <c r="AR81" s="90" t="str">
        <f t="shared" si="9"/>
        <v/>
      </c>
      <c r="AS81" s="142">
        <f t="shared" si="12"/>
        <v>0</v>
      </c>
      <c r="AT81" s="142"/>
      <c r="AU81" s="142">
        <f t="shared" si="10"/>
        <v>0</v>
      </c>
      <c r="AV81" s="142">
        <f t="shared" si="13"/>
        <v>0</v>
      </c>
      <c r="AW81" s="90">
        <f t="shared" ref="AW81:AW113" si="14">IF(ISNUMBER(AR82),SUM(AT81:AU81),SUM(AT81:AV81))</f>
        <v>0</v>
      </c>
      <c r="AX81" s="143">
        <f t="shared" si="8"/>
        <v>0</v>
      </c>
      <c r="AY81" s="90">
        <f t="shared" si="11"/>
        <v>0</v>
      </c>
      <c r="AZ81" s="90"/>
    </row>
    <row r="82" spans="44:52" s="14" customFormat="1" ht="15" x14ac:dyDescent="0.2">
      <c r="AR82" s="90" t="str">
        <f t="shared" si="9"/>
        <v/>
      </c>
      <c r="AS82" s="142">
        <f t="shared" si="12"/>
        <v>0</v>
      </c>
      <c r="AT82" s="142"/>
      <c r="AU82" s="142">
        <f t="shared" si="10"/>
        <v>0</v>
      </c>
      <c r="AV82" s="142">
        <f t="shared" si="13"/>
        <v>0</v>
      </c>
      <c r="AW82" s="90">
        <f t="shared" si="14"/>
        <v>0</v>
      </c>
      <c r="AX82" s="143">
        <f t="shared" si="8"/>
        <v>0</v>
      </c>
      <c r="AY82" s="90">
        <f t="shared" si="11"/>
        <v>0</v>
      </c>
      <c r="AZ82" s="90"/>
    </row>
    <row r="83" spans="44:52" s="14" customFormat="1" ht="15" x14ac:dyDescent="0.2">
      <c r="AR83" s="90" t="str">
        <f t="shared" si="9"/>
        <v/>
      </c>
      <c r="AS83" s="142">
        <f t="shared" si="12"/>
        <v>0</v>
      </c>
      <c r="AT83" s="142"/>
      <c r="AU83" s="142">
        <f t="shared" si="10"/>
        <v>0</v>
      </c>
      <c r="AV83" s="142">
        <f t="shared" si="13"/>
        <v>0</v>
      </c>
      <c r="AW83" s="90">
        <f t="shared" si="14"/>
        <v>0</v>
      </c>
      <c r="AX83" s="143">
        <f t="shared" si="8"/>
        <v>0</v>
      </c>
      <c r="AY83" s="90">
        <f t="shared" si="11"/>
        <v>0</v>
      </c>
      <c r="AZ83" s="90"/>
    </row>
    <row r="84" spans="44:52" s="14" customFormat="1" ht="15" x14ac:dyDescent="0.2">
      <c r="AR84" s="90" t="str">
        <f t="shared" si="9"/>
        <v/>
      </c>
      <c r="AS84" s="142">
        <f t="shared" si="12"/>
        <v>0</v>
      </c>
      <c r="AT84" s="142"/>
      <c r="AU84" s="142">
        <f t="shared" si="10"/>
        <v>0</v>
      </c>
      <c r="AV84" s="142">
        <f t="shared" si="13"/>
        <v>0</v>
      </c>
      <c r="AW84" s="90">
        <f t="shared" si="14"/>
        <v>0</v>
      </c>
      <c r="AX84" s="143">
        <f t="shared" si="8"/>
        <v>0</v>
      </c>
      <c r="AY84" s="90">
        <f t="shared" si="11"/>
        <v>0</v>
      </c>
      <c r="AZ84" s="90"/>
    </row>
    <row r="85" spans="44:52" s="14" customFormat="1" ht="15" x14ac:dyDescent="0.2">
      <c r="AR85" s="90" t="str">
        <f t="shared" si="9"/>
        <v/>
      </c>
      <c r="AS85" s="142">
        <f t="shared" si="12"/>
        <v>0</v>
      </c>
      <c r="AT85" s="142"/>
      <c r="AU85" s="142">
        <f t="shared" si="10"/>
        <v>0</v>
      </c>
      <c r="AV85" s="142">
        <f t="shared" si="13"/>
        <v>0</v>
      </c>
      <c r="AW85" s="90">
        <f t="shared" si="14"/>
        <v>0</v>
      </c>
      <c r="AX85" s="143">
        <f t="shared" si="8"/>
        <v>0</v>
      </c>
      <c r="AY85" s="90">
        <f t="shared" si="11"/>
        <v>0</v>
      </c>
      <c r="AZ85" s="90"/>
    </row>
    <row r="86" spans="44:52" s="14" customFormat="1" ht="15" x14ac:dyDescent="0.2">
      <c r="AR86" s="90" t="str">
        <f t="shared" si="9"/>
        <v/>
      </c>
      <c r="AS86" s="142">
        <f t="shared" si="12"/>
        <v>0</v>
      </c>
      <c r="AT86" s="142"/>
      <c r="AU86" s="142">
        <f t="shared" si="10"/>
        <v>0</v>
      </c>
      <c r="AV86" s="142">
        <f t="shared" si="13"/>
        <v>0</v>
      </c>
      <c r="AW86" s="90">
        <f t="shared" si="14"/>
        <v>0</v>
      </c>
      <c r="AX86" s="143">
        <f t="shared" si="8"/>
        <v>0</v>
      </c>
      <c r="AY86" s="90">
        <f t="shared" si="11"/>
        <v>0</v>
      </c>
      <c r="AZ86" s="90"/>
    </row>
    <row r="87" spans="44:52" s="14" customFormat="1" ht="15" x14ac:dyDescent="0.2">
      <c r="AR87" s="90" t="str">
        <f t="shared" si="9"/>
        <v/>
      </c>
      <c r="AS87" s="142">
        <f t="shared" si="12"/>
        <v>0</v>
      </c>
      <c r="AT87" s="142"/>
      <c r="AU87" s="142">
        <f t="shared" si="10"/>
        <v>0</v>
      </c>
      <c r="AV87" s="142">
        <f t="shared" si="13"/>
        <v>0</v>
      </c>
      <c r="AW87" s="90">
        <f t="shared" si="14"/>
        <v>0</v>
      </c>
      <c r="AX87" s="143">
        <f t="shared" si="8"/>
        <v>0</v>
      </c>
      <c r="AY87" s="90">
        <f t="shared" si="11"/>
        <v>0</v>
      </c>
      <c r="AZ87" s="90"/>
    </row>
    <row r="88" spans="44:52" s="14" customFormat="1" ht="15" x14ac:dyDescent="0.2">
      <c r="AR88" s="90" t="str">
        <f t="shared" si="9"/>
        <v/>
      </c>
      <c r="AS88" s="142">
        <f t="shared" si="12"/>
        <v>0</v>
      </c>
      <c r="AT88" s="142"/>
      <c r="AU88" s="142">
        <f t="shared" si="10"/>
        <v>0</v>
      </c>
      <c r="AV88" s="142">
        <f t="shared" si="13"/>
        <v>0</v>
      </c>
      <c r="AW88" s="90">
        <f t="shared" si="14"/>
        <v>0</v>
      </c>
      <c r="AX88" s="143">
        <f t="shared" si="8"/>
        <v>0</v>
      </c>
      <c r="AY88" s="90">
        <f t="shared" si="11"/>
        <v>0</v>
      </c>
      <c r="AZ88" s="90"/>
    </row>
    <row r="89" spans="44:52" s="14" customFormat="1" ht="15" x14ac:dyDescent="0.2">
      <c r="AR89" s="90" t="str">
        <f t="shared" si="9"/>
        <v/>
      </c>
      <c r="AS89" s="142">
        <f t="shared" si="12"/>
        <v>0</v>
      </c>
      <c r="AT89" s="142"/>
      <c r="AU89" s="142">
        <f t="shared" si="10"/>
        <v>0</v>
      </c>
      <c r="AV89" s="142">
        <f t="shared" si="13"/>
        <v>0</v>
      </c>
      <c r="AW89" s="90">
        <f t="shared" si="14"/>
        <v>0</v>
      </c>
      <c r="AX89" s="143">
        <f t="shared" si="8"/>
        <v>0</v>
      </c>
      <c r="AY89" s="90">
        <f t="shared" si="11"/>
        <v>0</v>
      </c>
      <c r="AZ89" s="90"/>
    </row>
    <row r="90" spans="44:52" s="14" customFormat="1" ht="15" x14ac:dyDescent="0.2">
      <c r="AR90" s="90" t="str">
        <f t="shared" si="9"/>
        <v/>
      </c>
      <c r="AS90" s="142">
        <f t="shared" si="12"/>
        <v>0</v>
      </c>
      <c r="AT90" s="142"/>
      <c r="AU90" s="142">
        <f t="shared" si="10"/>
        <v>0</v>
      </c>
      <c r="AV90" s="142">
        <f t="shared" si="13"/>
        <v>0</v>
      </c>
      <c r="AW90" s="90">
        <f t="shared" si="14"/>
        <v>0</v>
      </c>
      <c r="AX90" s="143">
        <f t="shared" si="8"/>
        <v>0</v>
      </c>
      <c r="AY90" s="90">
        <f t="shared" si="11"/>
        <v>0</v>
      </c>
      <c r="AZ90" s="90"/>
    </row>
    <row r="91" spans="44:52" s="14" customFormat="1" ht="15" x14ac:dyDescent="0.2">
      <c r="AR91" s="90" t="str">
        <f t="shared" si="9"/>
        <v/>
      </c>
      <c r="AS91" s="142">
        <f t="shared" si="12"/>
        <v>0</v>
      </c>
      <c r="AT91" s="142"/>
      <c r="AU91" s="142">
        <f t="shared" si="10"/>
        <v>0</v>
      </c>
      <c r="AV91" s="142">
        <f t="shared" si="13"/>
        <v>0</v>
      </c>
      <c r="AW91" s="90">
        <f t="shared" si="14"/>
        <v>0</v>
      </c>
      <c r="AX91" s="143">
        <f t="shared" si="8"/>
        <v>0</v>
      </c>
      <c r="AY91" s="90">
        <f t="shared" si="11"/>
        <v>0</v>
      </c>
      <c r="AZ91" s="90"/>
    </row>
    <row r="92" spans="44:52" s="14" customFormat="1" ht="15" x14ac:dyDescent="0.2">
      <c r="AR92" s="90" t="str">
        <f t="shared" si="9"/>
        <v/>
      </c>
      <c r="AS92" s="142">
        <f t="shared" si="12"/>
        <v>0</v>
      </c>
      <c r="AT92" s="142"/>
      <c r="AU92" s="142">
        <f t="shared" si="10"/>
        <v>0</v>
      </c>
      <c r="AV92" s="142">
        <f t="shared" si="13"/>
        <v>0</v>
      </c>
      <c r="AW92" s="90">
        <f t="shared" si="14"/>
        <v>0</v>
      </c>
      <c r="AX92" s="143">
        <f t="shared" si="8"/>
        <v>0</v>
      </c>
      <c r="AY92" s="90">
        <f t="shared" si="11"/>
        <v>0</v>
      </c>
      <c r="AZ92" s="90"/>
    </row>
    <row r="93" spans="44:52" s="14" customFormat="1" ht="15" x14ac:dyDescent="0.2">
      <c r="AR93" s="90" t="str">
        <f t="shared" si="9"/>
        <v/>
      </c>
      <c r="AS93" s="142">
        <f t="shared" si="12"/>
        <v>0</v>
      </c>
      <c r="AT93" s="142"/>
      <c r="AU93" s="142">
        <f t="shared" si="10"/>
        <v>0</v>
      </c>
      <c r="AV93" s="142">
        <f t="shared" si="13"/>
        <v>0</v>
      </c>
      <c r="AW93" s="90">
        <f t="shared" si="14"/>
        <v>0</v>
      </c>
      <c r="AX93" s="143">
        <f t="shared" si="8"/>
        <v>0</v>
      </c>
      <c r="AY93" s="90">
        <f t="shared" si="11"/>
        <v>0</v>
      </c>
      <c r="AZ93" s="90"/>
    </row>
    <row r="94" spans="44:52" s="14" customFormat="1" ht="15" x14ac:dyDescent="0.2">
      <c r="AR94" s="90" t="str">
        <f t="shared" si="9"/>
        <v/>
      </c>
      <c r="AS94" s="142">
        <f t="shared" si="12"/>
        <v>0</v>
      </c>
      <c r="AT94" s="142"/>
      <c r="AU94" s="142">
        <f t="shared" si="10"/>
        <v>0</v>
      </c>
      <c r="AV94" s="142">
        <f t="shared" si="13"/>
        <v>0</v>
      </c>
      <c r="AW94" s="90">
        <f t="shared" si="14"/>
        <v>0</v>
      </c>
      <c r="AX94" s="143">
        <f t="shared" si="8"/>
        <v>0</v>
      </c>
      <c r="AY94" s="90">
        <f t="shared" si="11"/>
        <v>0</v>
      </c>
      <c r="AZ94" s="90"/>
    </row>
    <row r="95" spans="44:52" s="14" customFormat="1" ht="15" x14ac:dyDescent="0.2">
      <c r="AR95" s="90" t="str">
        <f t="shared" si="9"/>
        <v/>
      </c>
      <c r="AS95" s="142">
        <f t="shared" si="12"/>
        <v>0</v>
      </c>
      <c r="AT95" s="142"/>
      <c r="AU95" s="142">
        <f t="shared" si="10"/>
        <v>0</v>
      </c>
      <c r="AV95" s="142">
        <f t="shared" si="13"/>
        <v>0</v>
      </c>
      <c r="AW95" s="90">
        <f t="shared" si="14"/>
        <v>0</v>
      </c>
      <c r="AX95" s="143">
        <f t="shared" si="8"/>
        <v>0</v>
      </c>
      <c r="AY95" s="90">
        <f t="shared" si="11"/>
        <v>0</v>
      </c>
      <c r="AZ95" s="90"/>
    </row>
    <row r="96" spans="44:52" s="14" customFormat="1" ht="15" x14ac:dyDescent="0.2">
      <c r="AR96" s="90" t="str">
        <f t="shared" si="9"/>
        <v/>
      </c>
      <c r="AS96" s="142">
        <f t="shared" si="12"/>
        <v>0</v>
      </c>
      <c r="AT96" s="142"/>
      <c r="AU96" s="142">
        <f t="shared" si="10"/>
        <v>0</v>
      </c>
      <c r="AV96" s="142">
        <f t="shared" si="13"/>
        <v>0</v>
      </c>
      <c r="AW96" s="90">
        <f t="shared" si="14"/>
        <v>0</v>
      </c>
      <c r="AX96" s="143">
        <f t="shared" si="8"/>
        <v>0</v>
      </c>
      <c r="AY96" s="90">
        <f t="shared" si="11"/>
        <v>0</v>
      </c>
      <c r="AZ96" s="90"/>
    </row>
    <row r="97" spans="44:52" s="14" customFormat="1" ht="15" x14ac:dyDescent="0.2">
      <c r="AR97" s="90" t="str">
        <f t="shared" si="9"/>
        <v/>
      </c>
      <c r="AS97" s="142">
        <f t="shared" si="12"/>
        <v>0</v>
      </c>
      <c r="AT97" s="142"/>
      <c r="AU97" s="142">
        <f t="shared" si="10"/>
        <v>0</v>
      </c>
      <c r="AV97" s="142">
        <f t="shared" si="13"/>
        <v>0</v>
      </c>
      <c r="AW97" s="90">
        <f t="shared" si="14"/>
        <v>0</v>
      </c>
      <c r="AX97" s="143">
        <f t="shared" si="8"/>
        <v>0</v>
      </c>
      <c r="AY97" s="90">
        <f t="shared" si="11"/>
        <v>0</v>
      </c>
      <c r="AZ97" s="90"/>
    </row>
    <row r="98" spans="44:52" s="14" customFormat="1" ht="15" x14ac:dyDescent="0.2">
      <c r="AR98" s="90" t="str">
        <f t="shared" si="9"/>
        <v/>
      </c>
      <c r="AS98" s="142">
        <f t="shared" si="12"/>
        <v>0</v>
      </c>
      <c r="AT98" s="142"/>
      <c r="AU98" s="142">
        <f t="shared" si="10"/>
        <v>0</v>
      </c>
      <c r="AV98" s="142">
        <f t="shared" si="13"/>
        <v>0</v>
      </c>
      <c r="AW98" s="90">
        <f t="shared" si="14"/>
        <v>0</v>
      </c>
      <c r="AX98" s="143">
        <f t="shared" si="8"/>
        <v>0</v>
      </c>
      <c r="AY98" s="90">
        <f t="shared" si="11"/>
        <v>0</v>
      </c>
      <c r="AZ98" s="90"/>
    </row>
    <row r="99" spans="44:52" s="14" customFormat="1" ht="15" x14ac:dyDescent="0.2">
      <c r="AR99" s="90" t="str">
        <f t="shared" si="9"/>
        <v/>
      </c>
      <c r="AS99" s="142">
        <f t="shared" si="12"/>
        <v>0</v>
      </c>
      <c r="AT99" s="142"/>
      <c r="AU99" s="142">
        <f t="shared" si="10"/>
        <v>0</v>
      </c>
      <c r="AV99" s="142">
        <f t="shared" si="13"/>
        <v>0</v>
      </c>
      <c r="AW99" s="90">
        <f t="shared" si="14"/>
        <v>0</v>
      </c>
      <c r="AX99" s="143">
        <f t="shared" si="8"/>
        <v>0</v>
      </c>
      <c r="AY99" s="90">
        <f t="shared" si="11"/>
        <v>0</v>
      </c>
      <c r="AZ99" s="90"/>
    </row>
    <row r="100" spans="44:52" s="14" customFormat="1" ht="15" x14ac:dyDescent="0.2">
      <c r="AR100" s="90" t="str">
        <f t="shared" si="9"/>
        <v/>
      </c>
      <c r="AS100" s="142">
        <f t="shared" si="12"/>
        <v>0</v>
      </c>
      <c r="AT100" s="142"/>
      <c r="AU100" s="142">
        <f t="shared" si="10"/>
        <v>0</v>
      </c>
      <c r="AV100" s="142">
        <f t="shared" si="13"/>
        <v>0</v>
      </c>
      <c r="AW100" s="90">
        <f t="shared" si="14"/>
        <v>0</v>
      </c>
      <c r="AX100" s="143">
        <f t="shared" si="8"/>
        <v>0</v>
      </c>
      <c r="AY100" s="90">
        <f t="shared" si="11"/>
        <v>0</v>
      </c>
      <c r="AZ100" s="90"/>
    </row>
    <row r="101" spans="44:52" s="14" customFormat="1" ht="15" x14ac:dyDescent="0.2">
      <c r="AR101" s="90" t="str">
        <f t="shared" si="9"/>
        <v/>
      </c>
      <c r="AS101" s="142">
        <f t="shared" si="12"/>
        <v>0</v>
      </c>
      <c r="AT101" s="142"/>
      <c r="AU101" s="142">
        <f t="shared" si="10"/>
        <v>0</v>
      </c>
      <c r="AV101" s="142">
        <f t="shared" si="13"/>
        <v>0</v>
      </c>
      <c r="AW101" s="90">
        <f t="shared" si="14"/>
        <v>0</v>
      </c>
      <c r="AX101" s="143">
        <f t="shared" si="8"/>
        <v>0</v>
      </c>
      <c r="AY101" s="90">
        <f t="shared" si="11"/>
        <v>0</v>
      </c>
      <c r="AZ101" s="90"/>
    </row>
    <row r="102" spans="44:52" s="14" customFormat="1" ht="15" x14ac:dyDescent="0.2">
      <c r="AR102" s="90" t="str">
        <f t="shared" si="9"/>
        <v/>
      </c>
      <c r="AS102" s="142">
        <f t="shared" si="12"/>
        <v>0</v>
      </c>
      <c r="AT102" s="142"/>
      <c r="AU102" s="142">
        <f t="shared" si="10"/>
        <v>0</v>
      </c>
      <c r="AV102" s="142">
        <f t="shared" si="13"/>
        <v>0</v>
      </c>
      <c r="AW102" s="90">
        <f t="shared" si="14"/>
        <v>0</v>
      </c>
      <c r="AX102" s="143">
        <f t="shared" ref="AX102:AX113" si="15">LN(AW102+$J$36)-LN($J$36)</f>
        <v>0</v>
      </c>
      <c r="AY102" s="90">
        <f t="shared" si="11"/>
        <v>0</v>
      </c>
      <c r="AZ102" s="90"/>
    </row>
    <row r="103" spans="44:52" s="14" customFormat="1" ht="15" x14ac:dyDescent="0.2">
      <c r="AR103" s="90" t="str">
        <f t="shared" si="9"/>
        <v/>
      </c>
      <c r="AS103" s="142">
        <f t="shared" si="12"/>
        <v>0</v>
      </c>
      <c r="AT103" s="142"/>
      <c r="AU103" s="142">
        <f t="shared" si="10"/>
        <v>0</v>
      </c>
      <c r="AV103" s="142">
        <f t="shared" si="13"/>
        <v>0</v>
      </c>
      <c r="AW103" s="90">
        <f t="shared" si="14"/>
        <v>0</v>
      </c>
      <c r="AX103" s="143">
        <f t="shared" si="15"/>
        <v>0</v>
      </c>
      <c r="AY103" s="90">
        <f t="shared" si="11"/>
        <v>0</v>
      </c>
      <c r="AZ103" s="90"/>
    </row>
    <row r="104" spans="44:52" s="14" customFormat="1" ht="15" x14ac:dyDescent="0.2">
      <c r="AR104" s="90" t="str">
        <f t="shared" si="9"/>
        <v/>
      </c>
      <c r="AS104" s="142">
        <f t="shared" si="12"/>
        <v>0</v>
      </c>
      <c r="AT104" s="142"/>
      <c r="AU104" s="142">
        <f t="shared" si="10"/>
        <v>0</v>
      </c>
      <c r="AV104" s="142">
        <f t="shared" si="13"/>
        <v>0</v>
      </c>
      <c r="AW104" s="90">
        <f t="shared" si="14"/>
        <v>0</v>
      </c>
      <c r="AX104" s="143">
        <f t="shared" si="15"/>
        <v>0</v>
      </c>
      <c r="AY104" s="90">
        <f t="shared" si="11"/>
        <v>0</v>
      </c>
      <c r="AZ104" s="90"/>
    </row>
    <row r="105" spans="44:52" s="14" customFormat="1" ht="15" x14ac:dyDescent="0.2">
      <c r="AR105" s="90" t="str">
        <f t="shared" si="9"/>
        <v/>
      </c>
      <c r="AS105" s="142">
        <f t="shared" si="12"/>
        <v>0</v>
      </c>
      <c r="AT105" s="142"/>
      <c r="AU105" s="142">
        <f t="shared" si="10"/>
        <v>0</v>
      </c>
      <c r="AV105" s="142">
        <f t="shared" si="13"/>
        <v>0</v>
      </c>
      <c r="AW105" s="90">
        <f t="shared" si="14"/>
        <v>0</v>
      </c>
      <c r="AX105" s="143">
        <f t="shared" si="15"/>
        <v>0</v>
      </c>
      <c r="AY105" s="90">
        <f t="shared" si="11"/>
        <v>0</v>
      </c>
      <c r="AZ105" s="90"/>
    </row>
    <row r="106" spans="44:52" s="14" customFormat="1" ht="15" x14ac:dyDescent="0.2">
      <c r="AR106" s="90" t="str">
        <f t="shared" si="9"/>
        <v/>
      </c>
      <c r="AS106" s="142">
        <f t="shared" si="12"/>
        <v>0</v>
      </c>
      <c r="AT106" s="142"/>
      <c r="AU106" s="142">
        <f t="shared" si="10"/>
        <v>0</v>
      </c>
      <c r="AV106" s="142">
        <f t="shared" si="13"/>
        <v>0</v>
      </c>
      <c r="AW106" s="90">
        <f t="shared" si="14"/>
        <v>0</v>
      </c>
      <c r="AX106" s="143">
        <f t="shared" si="15"/>
        <v>0</v>
      </c>
      <c r="AY106" s="90">
        <f t="shared" si="11"/>
        <v>0</v>
      </c>
      <c r="AZ106" s="90"/>
    </row>
    <row r="107" spans="44:52" s="14" customFormat="1" ht="15" x14ac:dyDescent="0.2">
      <c r="AR107" s="90" t="str">
        <f t="shared" si="9"/>
        <v/>
      </c>
      <c r="AS107" s="142">
        <f t="shared" si="12"/>
        <v>0</v>
      </c>
      <c r="AT107" s="142"/>
      <c r="AU107" s="142">
        <f t="shared" si="10"/>
        <v>0</v>
      </c>
      <c r="AV107" s="142">
        <f t="shared" si="13"/>
        <v>0</v>
      </c>
      <c r="AW107" s="90">
        <f t="shared" si="14"/>
        <v>0</v>
      </c>
      <c r="AX107" s="143">
        <f t="shared" si="15"/>
        <v>0</v>
      </c>
      <c r="AY107" s="90">
        <f t="shared" si="11"/>
        <v>0</v>
      </c>
      <c r="AZ107" s="90"/>
    </row>
    <row r="108" spans="44:52" s="14" customFormat="1" ht="15" x14ac:dyDescent="0.2">
      <c r="AR108" s="90" t="str">
        <f t="shared" si="9"/>
        <v/>
      </c>
      <c r="AS108" s="142">
        <f t="shared" si="12"/>
        <v>0</v>
      </c>
      <c r="AT108" s="142"/>
      <c r="AU108" s="142">
        <f t="shared" si="10"/>
        <v>0</v>
      </c>
      <c r="AV108" s="142">
        <f t="shared" si="13"/>
        <v>0</v>
      </c>
      <c r="AW108" s="90">
        <f t="shared" si="14"/>
        <v>0</v>
      </c>
      <c r="AX108" s="143">
        <f t="shared" si="15"/>
        <v>0</v>
      </c>
      <c r="AY108" s="90">
        <f t="shared" si="11"/>
        <v>0</v>
      </c>
      <c r="AZ108" s="90"/>
    </row>
    <row r="109" spans="44:52" s="14" customFormat="1" ht="15" x14ac:dyDescent="0.2">
      <c r="AR109" s="90" t="str">
        <f t="shared" si="9"/>
        <v/>
      </c>
      <c r="AS109" s="142">
        <f t="shared" si="12"/>
        <v>0</v>
      </c>
      <c r="AT109" s="142"/>
      <c r="AU109" s="142">
        <f t="shared" si="10"/>
        <v>0</v>
      </c>
      <c r="AV109" s="142">
        <f t="shared" si="13"/>
        <v>0</v>
      </c>
      <c r="AW109" s="90">
        <f t="shared" si="14"/>
        <v>0</v>
      </c>
      <c r="AX109" s="143">
        <f t="shared" si="15"/>
        <v>0</v>
      </c>
      <c r="AY109" s="90">
        <f t="shared" si="11"/>
        <v>0</v>
      </c>
      <c r="AZ109" s="90"/>
    </row>
    <row r="110" spans="44:52" s="14" customFormat="1" ht="15" x14ac:dyDescent="0.2">
      <c r="AR110" s="90" t="str">
        <f t="shared" si="9"/>
        <v/>
      </c>
      <c r="AS110" s="142">
        <f t="shared" si="12"/>
        <v>0</v>
      </c>
      <c r="AT110" s="142"/>
      <c r="AU110" s="142">
        <f t="shared" si="10"/>
        <v>0</v>
      </c>
      <c r="AV110" s="142">
        <f t="shared" si="13"/>
        <v>0</v>
      </c>
      <c r="AW110" s="90">
        <f t="shared" si="14"/>
        <v>0</v>
      </c>
      <c r="AX110" s="143">
        <f t="shared" si="15"/>
        <v>0</v>
      </c>
      <c r="AY110" s="90">
        <f t="shared" si="11"/>
        <v>0</v>
      </c>
      <c r="AZ110" s="90"/>
    </row>
    <row r="111" spans="44:52" s="14" customFormat="1" ht="15" x14ac:dyDescent="0.2">
      <c r="AR111" s="90" t="str">
        <f t="shared" si="9"/>
        <v/>
      </c>
      <c r="AS111" s="142">
        <f t="shared" si="12"/>
        <v>0</v>
      </c>
      <c r="AT111" s="142"/>
      <c r="AU111" s="142">
        <f t="shared" si="10"/>
        <v>0</v>
      </c>
      <c r="AV111" s="142">
        <f t="shared" si="13"/>
        <v>0</v>
      </c>
      <c r="AW111" s="90">
        <f t="shared" si="14"/>
        <v>0</v>
      </c>
      <c r="AX111" s="143">
        <f t="shared" si="15"/>
        <v>0</v>
      </c>
      <c r="AY111" s="90">
        <f t="shared" si="11"/>
        <v>0</v>
      </c>
      <c r="AZ111" s="90"/>
    </row>
    <row r="112" spans="44:52" s="14" customFormat="1" ht="15" x14ac:dyDescent="0.2">
      <c r="AR112" s="90" t="str">
        <f t="shared" si="9"/>
        <v/>
      </c>
      <c r="AS112" s="142">
        <f t="shared" si="12"/>
        <v>0</v>
      </c>
      <c r="AT112" s="142"/>
      <c r="AU112" s="142">
        <f t="shared" si="10"/>
        <v>0</v>
      </c>
      <c r="AV112" s="142">
        <f t="shared" si="13"/>
        <v>0</v>
      </c>
      <c r="AW112" s="90">
        <f t="shared" si="14"/>
        <v>0</v>
      </c>
      <c r="AX112" s="143">
        <f t="shared" si="15"/>
        <v>0</v>
      </c>
      <c r="AY112" s="90">
        <f t="shared" si="11"/>
        <v>0</v>
      </c>
      <c r="AZ112" s="90"/>
    </row>
    <row r="113" spans="44:52" s="14" customFormat="1" ht="15" x14ac:dyDescent="0.2">
      <c r="AR113" s="90" t="str">
        <f t="shared" si="9"/>
        <v/>
      </c>
      <c r="AS113" s="142">
        <f t="shared" si="12"/>
        <v>0</v>
      </c>
      <c r="AT113" s="142"/>
      <c r="AU113" s="142">
        <f t="shared" si="10"/>
        <v>0</v>
      </c>
      <c r="AV113" s="142">
        <f t="shared" si="13"/>
        <v>0</v>
      </c>
      <c r="AW113" s="90">
        <f t="shared" si="14"/>
        <v>0</v>
      </c>
      <c r="AX113" s="143">
        <f t="shared" si="15"/>
        <v>0</v>
      </c>
      <c r="AY113" s="90">
        <f t="shared" si="11"/>
        <v>0</v>
      </c>
      <c r="AZ113" s="90"/>
    </row>
    <row r="114" spans="44:52" s="14" customFormat="1" ht="15" x14ac:dyDescent="0.2">
      <c r="AZ114" s="90"/>
    </row>
    <row r="115" spans="44:52" s="14" customFormat="1" ht="15" x14ac:dyDescent="0.2">
      <c r="AZ115" s="90"/>
    </row>
    <row r="116" spans="44:52" s="14" customFormat="1" ht="15" x14ac:dyDescent="0.2">
      <c r="AZ116" s="90"/>
    </row>
    <row r="117" spans="44:52" s="14" customFormat="1" ht="15" x14ac:dyDescent="0.2">
      <c r="AZ117" s="90"/>
    </row>
    <row r="118" spans="44:52" ht="15" x14ac:dyDescent="0.2">
      <c r="AZ118"/>
    </row>
  </sheetData>
  <mergeCells count="59">
    <mergeCell ref="H37:Q37"/>
    <mergeCell ref="R37:T37"/>
    <mergeCell ref="B35:B37"/>
    <mergeCell ref="D35:F35"/>
    <mergeCell ref="H35:I35"/>
    <mergeCell ref="J35:N35"/>
    <mergeCell ref="O35:P35"/>
    <mergeCell ref="D36:F36"/>
    <mergeCell ref="H36:I36"/>
    <mergeCell ref="J36:N36"/>
    <mergeCell ref="O36:P36"/>
    <mergeCell ref="D37:G37"/>
    <mergeCell ref="B23:E26"/>
    <mergeCell ref="Q25:Q28"/>
    <mergeCell ref="R29:V29"/>
    <mergeCell ref="R30:V30"/>
    <mergeCell ref="F31:F33"/>
    <mergeCell ref="R31:V31"/>
    <mergeCell ref="F21:F24"/>
    <mergeCell ref="R21:S22"/>
    <mergeCell ref="U21:W22"/>
    <mergeCell ref="Q18:Q19"/>
    <mergeCell ref="T18:U18"/>
    <mergeCell ref="V18:W18"/>
    <mergeCell ref="T19:U19"/>
    <mergeCell ref="V19:W19"/>
    <mergeCell ref="C16:C17"/>
    <mergeCell ref="D16:D17"/>
    <mergeCell ref="F16:F17"/>
    <mergeCell ref="G16:G17"/>
    <mergeCell ref="S16:T16"/>
    <mergeCell ref="T10:U10"/>
    <mergeCell ref="T11:U11"/>
    <mergeCell ref="Q13:Q16"/>
    <mergeCell ref="T13:U13"/>
    <mergeCell ref="B14:B18"/>
    <mergeCell ref="C14:C15"/>
    <mergeCell ref="D14:D15"/>
    <mergeCell ref="F14:F15"/>
    <mergeCell ref="G14:G15"/>
    <mergeCell ref="T14:U14"/>
    <mergeCell ref="B7:B11"/>
    <mergeCell ref="Q8:Q11"/>
    <mergeCell ref="T8:U8"/>
    <mergeCell ref="C9:D9"/>
    <mergeCell ref="T9:U9"/>
    <mergeCell ref="T15:U15"/>
    <mergeCell ref="C6:D6"/>
    <mergeCell ref="I6:J6"/>
    <mergeCell ref="L6:M6"/>
    <mergeCell ref="T6:U6"/>
    <mergeCell ref="V6:W6"/>
    <mergeCell ref="S2:T3"/>
    <mergeCell ref="B4:D5"/>
    <mergeCell ref="F4:G5"/>
    <mergeCell ref="T4:U4"/>
    <mergeCell ref="V4:W4"/>
    <mergeCell ref="T5:U5"/>
    <mergeCell ref="V5:W5"/>
  </mergeCells>
  <phoneticPr fontId="49" type="noConversion"/>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93"/>
  <sheetViews>
    <sheetView workbookViewId="0">
      <pane ySplit="2" topLeftCell="A70" activePane="bottomLeft" state="frozen"/>
      <selection activeCell="I65" sqref="I65:P75"/>
      <selection pane="bottomLeft" activeCell="D72" sqref="D72"/>
    </sheetView>
  </sheetViews>
  <sheetFormatPr baseColWidth="10" defaultColWidth="11.5" defaultRowHeight="15" x14ac:dyDescent="0.2"/>
  <cols>
    <col min="1" max="1" width="4.5" style="80" customWidth="1"/>
    <col min="2" max="2" width="39.5" style="53" customWidth="1"/>
    <col min="3" max="3" width="27.1640625" style="65" hidden="1" customWidth="1"/>
    <col min="4" max="4" width="13.1640625" style="54" customWidth="1"/>
    <col min="5" max="5" width="13.83203125" style="54" customWidth="1"/>
    <col min="6" max="6" width="12.5" style="54" bestFit="1" customWidth="1"/>
    <col min="7" max="7" width="16.83203125" style="54" customWidth="1"/>
    <col min="8" max="13" width="11.5" style="54"/>
    <col min="14" max="14" width="12.83203125" style="54" bestFit="1" customWidth="1"/>
    <col min="15" max="16384" width="11.5" style="54"/>
  </cols>
  <sheetData>
    <row r="1" spans="1:15" x14ac:dyDescent="0.2">
      <c r="A1" s="190"/>
      <c r="B1" s="68"/>
      <c r="C1" s="64" t="s">
        <v>575</v>
      </c>
      <c r="D1" s="547" t="s">
        <v>63</v>
      </c>
      <c r="E1" s="547"/>
      <c r="F1" s="547"/>
      <c r="G1" s="547"/>
      <c r="H1" s="547"/>
      <c r="I1" s="548" t="s">
        <v>36</v>
      </c>
      <c r="J1" s="548"/>
      <c r="K1" s="548"/>
      <c r="L1" s="548"/>
      <c r="M1" s="548"/>
      <c r="N1" s="83" t="s">
        <v>452</v>
      </c>
    </row>
    <row r="2" spans="1:15" x14ac:dyDescent="0.2">
      <c r="C2" s="72"/>
      <c r="D2" s="52">
        <v>1</v>
      </c>
      <c r="E2" s="52">
        <v>2</v>
      </c>
      <c r="F2" s="52">
        <v>3</v>
      </c>
      <c r="G2" s="52">
        <v>4</v>
      </c>
      <c r="H2" s="52">
        <v>5</v>
      </c>
      <c r="I2" s="52">
        <v>1</v>
      </c>
      <c r="J2" s="52">
        <v>2</v>
      </c>
      <c r="K2" s="52">
        <v>3</v>
      </c>
      <c r="L2" s="52">
        <v>4</v>
      </c>
      <c r="M2" s="52">
        <v>5</v>
      </c>
    </row>
    <row r="3" spans="1:15" x14ac:dyDescent="0.2">
      <c r="A3" s="187" t="s">
        <v>486</v>
      </c>
      <c r="B3" s="54"/>
      <c r="C3" s="72"/>
      <c r="D3" s="55"/>
      <c r="E3" s="55"/>
      <c r="F3" s="55"/>
      <c r="G3" s="56"/>
      <c r="H3" s="56"/>
    </row>
    <row r="4" spans="1:15" x14ac:dyDescent="0.2">
      <c r="A4" s="188"/>
      <c r="B4" s="57" t="s">
        <v>487</v>
      </c>
      <c r="C4" s="73"/>
      <c r="D4" s="60">
        <v>0.05</v>
      </c>
      <c r="E4" s="60">
        <v>0.03</v>
      </c>
      <c r="F4" s="55"/>
      <c r="G4" s="55"/>
      <c r="H4" s="56"/>
      <c r="I4" s="56" t="s">
        <v>417</v>
      </c>
      <c r="J4" s="54" t="s">
        <v>488</v>
      </c>
      <c r="K4" s="56"/>
    </row>
    <row r="5" spans="1:15" ht="41.5" customHeight="1" x14ac:dyDescent="0.2">
      <c r="A5" s="189"/>
      <c r="B5" s="69" t="s">
        <v>489</v>
      </c>
      <c r="C5" s="173" t="s">
        <v>418</v>
      </c>
      <c r="D5" s="55">
        <f>0.37/0.52</f>
        <v>0.71153846153846145</v>
      </c>
      <c r="E5" s="55">
        <f>0.37/(0.52+0.14)</f>
        <v>0.56060606060606055</v>
      </c>
      <c r="F5" s="55">
        <f>(0.37/(1-0.37))/(0.52/(1-0.52))</f>
        <v>0.54212454212454209</v>
      </c>
      <c r="G5" s="55">
        <f>(0.37/(1-0.37))/((0.52+0.14)/(1-(0.52+0.14)))</f>
        <v>0.30254930254930251</v>
      </c>
      <c r="H5" s="56"/>
      <c r="I5" s="195" t="s">
        <v>240</v>
      </c>
      <c r="J5" s="196" t="s">
        <v>68</v>
      </c>
      <c r="K5" s="196" t="s">
        <v>238</v>
      </c>
      <c r="L5" s="196" t="s">
        <v>239</v>
      </c>
      <c r="N5" s="51" t="s">
        <v>381</v>
      </c>
    </row>
    <row r="6" spans="1:15" ht="41.5" customHeight="1" x14ac:dyDescent="0.2">
      <c r="A6" s="189"/>
      <c r="B6" s="69" t="s">
        <v>217</v>
      </c>
      <c r="C6" s="62"/>
      <c r="D6" s="60">
        <v>2</v>
      </c>
      <c r="E6" s="60">
        <v>1</v>
      </c>
      <c r="F6" s="55"/>
      <c r="G6" s="55"/>
      <c r="H6" s="56"/>
      <c r="I6" s="195" t="s">
        <v>4</v>
      </c>
      <c r="J6" s="195" t="s">
        <v>216</v>
      </c>
      <c r="K6" s="196"/>
      <c r="L6" s="196"/>
      <c r="M6" s="56"/>
      <c r="N6" s="472"/>
      <c r="O6" s="56"/>
    </row>
    <row r="7" spans="1:15" ht="45" x14ac:dyDescent="0.2">
      <c r="A7" s="183"/>
      <c r="B7" s="69" t="s">
        <v>491</v>
      </c>
      <c r="C7" s="62"/>
      <c r="D7" s="60">
        <v>1</v>
      </c>
      <c r="E7" s="154">
        <f>D30/10</f>
        <v>0.24100000000000002</v>
      </c>
      <c r="F7" s="55"/>
      <c r="G7" s="56"/>
      <c r="H7" s="56"/>
      <c r="I7" s="55" t="s">
        <v>453</v>
      </c>
      <c r="J7" s="56" t="s">
        <v>8</v>
      </c>
      <c r="K7" s="56"/>
      <c r="L7" s="56"/>
      <c r="M7" s="56"/>
      <c r="N7" s="56"/>
      <c r="O7" s="56"/>
    </row>
    <row r="8" spans="1:15" ht="30" x14ac:dyDescent="0.2">
      <c r="A8" s="183"/>
      <c r="B8" s="69" t="s">
        <v>420</v>
      </c>
      <c r="C8" s="62" t="s">
        <v>429</v>
      </c>
      <c r="D8" s="60">
        <v>0.5</v>
      </c>
      <c r="E8" s="60">
        <v>0.23</v>
      </c>
      <c r="F8" s="60">
        <v>0.85</v>
      </c>
      <c r="G8" s="60">
        <v>0.6</v>
      </c>
      <c r="H8" s="55"/>
      <c r="I8" s="56" t="s">
        <v>314</v>
      </c>
      <c r="J8" s="56" t="s">
        <v>421</v>
      </c>
      <c r="K8" s="56" t="s">
        <v>422</v>
      </c>
      <c r="L8" s="56" t="s">
        <v>360</v>
      </c>
      <c r="M8" s="56"/>
      <c r="N8" s="56"/>
      <c r="O8" s="56"/>
    </row>
    <row r="9" spans="1:15" ht="30" x14ac:dyDescent="0.2">
      <c r="A9" s="183"/>
      <c r="B9" s="69" t="s">
        <v>231</v>
      </c>
      <c r="C9" s="62"/>
      <c r="D9" s="58">
        <v>3</v>
      </c>
      <c r="E9" s="58">
        <v>2</v>
      </c>
      <c r="F9" s="58">
        <v>4</v>
      </c>
      <c r="G9" s="56"/>
      <c r="H9" s="55"/>
      <c r="I9" s="551" t="s">
        <v>125</v>
      </c>
      <c r="J9" s="552"/>
      <c r="K9" s="552"/>
      <c r="L9" s="552"/>
      <c r="M9" s="552"/>
      <c r="N9" s="56"/>
      <c r="O9" s="56"/>
    </row>
    <row r="10" spans="1:15" x14ac:dyDescent="0.2">
      <c r="A10" s="189"/>
      <c r="B10" s="69" t="s">
        <v>419</v>
      </c>
      <c r="C10" s="62"/>
      <c r="D10" s="164">
        <v>1.7608179999999999E-3</v>
      </c>
      <c r="E10" s="165">
        <v>1.6824299999999999E-3</v>
      </c>
      <c r="F10" s="166">
        <v>1.8268850000000001E-3</v>
      </c>
      <c r="G10" s="163"/>
      <c r="H10" s="163"/>
      <c r="I10" s="56" t="s">
        <v>375</v>
      </c>
      <c r="J10" s="56" t="s">
        <v>473</v>
      </c>
      <c r="K10" s="56" t="s">
        <v>474</v>
      </c>
      <c r="L10" s="56"/>
      <c r="M10" s="56"/>
      <c r="N10" s="56"/>
      <c r="O10" s="56"/>
    </row>
    <row r="11" spans="1:15" x14ac:dyDescent="0.2">
      <c r="A11" s="190"/>
      <c r="B11" s="68" t="s">
        <v>435</v>
      </c>
      <c r="C11" s="63"/>
      <c r="D11" s="59">
        <f>AVERAGE(36.46,36.59)</f>
        <v>36.525000000000006</v>
      </c>
      <c r="E11" s="56"/>
      <c r="F11" s="56"/>
      <c r="G11" s="56"/>
      <c r="H11" s="56"/>
      <c r="I11" s="473" t="s">
        <v>253</v>
      </c>
      <c r="J11" s="473"/>
      <c r="K11" s="473"/>
      <c r="L11" s="473"/>
      <c r="M11" s="473"/>
      <c r="N11" s="56"/>
      <c r="O11" s="56"/>
    </row>
    <row r="12" spans="1:15" x14ac:dyDescent="0.2">
      <c r="A12" s="183"/>
      <c r="B12" s="69"/>
      <c r="C12" s="62"/>
      <c r="D12" s="164"/>
      <c r="E12" s="165"/>
      <c r="F12" s="166"/>
      <c r="G12" s="55"/>
      <c r="H12" s="55"/>
      <c r="I12" s="56"/>
      <c r="J12" s="56"/>
      <c r="K12" s="172"/>
      <c r="L12" s="172"/>
      <c r="M12" s="56"/>
      <c r="N12" s="56"/>
      <c r="O12" s="56"/>
    </row>
    <row r="13" spans="1:15" x14ac:dyDescent="0.2">
      <c r="A13" s="191" t="s">
        <v>492</v>
      </c>
      <c r="B13" s="56"/>
      <c r="C13" s="74"/>
      <c r="D13" s="56"/>
      <c r="E13" s="56"/>
      <c r="F13" s="56"/>
      <c r="G13" s="55"/>
      <c r="H13" s="55"/>
      <c r="I13" s="56"/>
      <c r="J13" s="56"/>
      <c r="K13" s="474"/>
      <c r="L13" s="172"/>
      <c r="M13" s="56"/>
      <c r="N13" s="56"/>
      <c r="O13" s="56"/>
    </row>
    <row r="14" spans="1:15" x14ac:dyDescent="0.2">
      <c r="A14" s="183"/>
      <c r="B14" s="69" t="s">
        <v>493</v>
      </c>
      <c r="C14" s="62"/>
      <c r="D14" s="168">
        <v>1.26</v>
      </c>
      <c r="E14" s="168">
        <f>$D14*42%</f>
        <v>0.5292</v>
      </c>
      <c r="F14" s="168">
        <f>$D14*(1-28%)</f>
        <v>0.90720000000000001</v>
      </c>
      <c r="G14" s="56"/>
      <c r="H14" s="56"/>
      <c r="I14" s="56" t="s">
        <v>329</v>
      </c>
      <c r="J14" s="56" t="s">
        <v>315</v>
      </c>
      <c r="K14" s="56" t="s">
        <v>316</v>
      </c>
      <c r="L14" s="475"/>
      <c r="M14" s="475"/>
      <c r="N14" s="472" t="s">
        <v>309</v>
      </c>
      <c r="O14" s="56"/>
    </row>
    <row r="15" spans="1:15" x14ac:dyDescent="0.2">
      <c r="A15" s="183"/>
      <c r="B15" s="69" t="s">
        <v>494</v>
      </c>
      <c r="C15" s="62"/>
      <c r="D15" s="60">
        <v>0.75</v>
      </c>
      <c r="E15" s="60">
        <v>0.9</v>
      </c>
      <c r="F15" s="55"/>
      <c r="G15" s="56"/>
      <c r="H15" s="56"/>
      <c r="I15" s="56" t="s">
        <v>5</v>
      </c>
      <c r="J15" s="56" t="s">
        <v>338</v>
      </c>
      <c r="K15" s="56"/>
      <c r="L15" s="172"/>
      <c r="M15" s="56"/>
      <c r="N15" s="56"/>
      <c r="O15" s="56"/>
    </row>
    <row r="16" spans="1:15" x14ac:dyDescent="0.2">
      <c r="A16" s="183"/>
      <c r="B16" s="69" t="s">
        <v>495</v>
      </c>
      <c r="C16" s="62"/>
      <c r="D16" s="55">
        <v>0.18569134162665896</v>
      </c>
      <c r="E16" s="476">
        <v>0.12267414402938018</v>
      </c>
      <c r="F16" s="476">
        <v>0.16870990521294082</v>
      </c>
      <c r="G16" s="476">
        <v>0.25978306642315557</v>
      </c>
      <c r="H16" s="476">
        <v>0.41438686694784538</v>
      </c>
      <c r="I16" s="56" t="s">
        <v>234</v>
      </c>
      <c r="J16" s="56" t="s">
        <v>220</v>
      </c>
      <c r="K16" s="56" t="s">
        <v>221</v>
      </c>
      <c r="L16" s="56" t="s">
        <v>235</v>
      </c>
      <c r="M16" s="56" t="s">
        <v>236</v>
      </c>
      <c r="N16" s="472" t="s">
        <v>310</v>
      </c>
      <c r="O16" s="56"/>
    </row>
    <row r="17" spans="1:15" ht="27.75" customHeight="1" x14ac:dyDescent="0.2">
      <c r="A17" s="183"/>
      <c r="B17" s="69" t="s">
        <v>229</v>
      </c>
      <c r="C17" s="62" t="s">
        <v>476</v>
      </c>
      <c r="D17" s="60">
        <v>1</v>
      </c>
      <c r="E17" s="60">
        <f>E24</f>
        <v>0.81</v>
      </c>
      <c r="F17" s="60">
        <f>F24</f>
        <v>0.77</v>
      </c>
      <c r="G17" s="60">
        <f>G24</f>
        <v>0.71</v>
      </c>
      <c r="H17" s="55"/>
      <c r="I17" s="56" t="s">
        <v>190</v>
      </c>
      <c r="J17" s="56"/>
      <c r="K17" s="56"/>
      <c r="L17" s="172"/>
      <c r="M17" s="56"/>
      <c r="N17" s="56"/>
      <c r="O17" s="56"/>
    </row>
    <row r="18" spans="1:15" ht="27.75" customHeight="1" x14ac:dyDescent="0.2">
      <c r="A18" s="183"/>
      <c r="B18" s="69" t="s">
        <v>388</v>
      </c>
      <c r="C18" s="62"/>
      <c r="D18" s="60">
        <v>1</v>
      </c>
      <c r="E18" s="55"/>
      <c r="F18" s="55"/>
      <c r="G18" s="56"/>
      <c r="H18" s="56"/>
      <c r="I18" s="56" t="s">
        <v>317</v>
      </c>
      <c r="J18" s="56"/>
      <c r="K18" s="56"/>
      <c r="L18" s="172"/>
      <c r="M18" s="56"/>
      <c r="N18" s="56"/>
      <c r="O18" s="56"/>
    </row>
    <row r="19" spans="1:15" x14ac:dyDescent="0.2">
      <c r="A19" s="183"/>
      <c r="B19" s="69"/>
      <c r="C19" s="62"/>
      <c r="D19" s="55"/>
      <c r="E19" s="55"/>
      <c r="F19" s="55"/>
      <c r="G19" s="55"/>
      <c r="H19" s="55"/>
      <c r="I19" s="56"/>
      <c r="J19" s="56"/>
      <c r="K19" s="172"/>
      <c r="L19" s="172"/>
      <c r="M19" s="56"/>
      <c r="N19" s="56"/>
      <c r="O19" s="56"/>
    </row>
    <row r="20" spans="1:15" x14ac:dyDescent="0.2">
      <c r="A20" s="191" t="s">
        <v>496</v>
      </c>
      <c r="B20" s="477"/>
      <c r="C20" s="74"/>
      <c r="D20" s="55"/>
      <c r="E20" s="55"/>
      <c r="F20" s="55"/>
      <c r="G20" s="55"/>
      <c r="H20" s="55"/>
      <c r="I20" s="56"/>
      <c r="J20" s="56"/>
      <c r="K20" s="172"/>
      <c r="L20" s="172"/>
      <c r="M20" s="56"/>
      <c r="N20" s="56"/>
      <c r="O20" s="56"/>
    </row>
    <row r="21" spans="1:15" x14ac:dyDescent="0.2">
      <c r="A21" s="183"/>
      <c r="B21" s="69" t="s">
        <v>493</v>
      </c>
      <c r="C21" s="62"/>
      <c r="D21" s="168">
        <v>0.8</v>
      </c>
      <c r="E21" s="168">
        <v>0.51</v>
      </c>
      <c r="F21" s="168">
        <v>0.75</v>
      </c>
      <c r="G21" s="168">
        <v>0.09</v>
      </c>
      <c r="H21" s="56"/>
      <c r="I21" s="56" t="s">
        <v>318</v>
      </c>
      <c r="J21" s="56" t="s">
        <v>319</v>
      </c>
      <c r="K21" s="56" t="s">
        <v>320</v>
      </c>
      <c r="L21" s="56" t="s">
        <v>69</v>
      </c>
      <c r="M21" s="56"/>
      <c r="N21" s="472" t="s">
        <v>311</v>
      </c>
      <c r="O21" s="56"/>
    </row>
    <row r="22" spans="1:15" x14ac:dyDescent="0.2">
      <c r="A22" s="183"/>
      <c r="B22" s="69" t="s">
        <v>494</v>
      </c>
      <c r="C22" s="62"/>
      <c r="D22" s="60">
        <v>1</v>
      </c>
      <c r="E22" s="55"/>
      <c r="F22" s="55"/>
      <c r="G22" s="56"/>
      <c r="H22" s="56"/>
      <c r="I22" s="61" t="s">
        <v>306</v>
      </c>
      <c r="J22" s="56"/>
      <c r="K22" s="56"/>
      <c r="L22" s="172"/>
      <c r="M22" s="56"/>
      <c r="N22" s="56"/>
      <c r="O22" s="56"/>
    </row>
    <row r="23" spans="1:15" x14ac:dyDescent="0.2">
      <c r="A23" s="183"/>
      <c r="B23" s="69" t="s">
        <v>495</v>
      </c>
      <c r="C23" s="62"/>
      <c r="D23" s="55">
        <v>0.25359999999999999</v>
      </c>
      <c r="E23" s="55">
        <v>0.24809999999999999</v>
      </c>
      <c r="F23" s="478">
        <v>0.33510000000000001</v>
      </c>
      <c r="G23" s="55">
        <v>0.21240000000000001</v>
      </c>
      <c r="H23" s="476">
        <v>0.1404</v>
      </c>
      <c r="I23" s="56" t="s">
        <v>237</v>
      </c>
      <c r="J23" s="56" t="s">
        <v>222</v>
      </c>
      <c r="K23" s="56" t="s">
        <v>223</v>
      </c>
      <c r="L23" s="56" t="s">
        <v>235</v>
      </c>
      <c r="M23" s="56" t="s">
        <v>219</v>
      </c>
      <c r="N23" s="472" t="s">
        <v>312</v>
      </c>
      <c r="O23" s="56"/>
    </row>
    <row r="24" spans="1:15" ht="32.5" customHeight="1" x14ac:dyDescent="0.2">
      <c r="A24" s="183"/>
      <c r="B24" s="69" t="s">
        <v>230</v>
      </c>
      <c r="C24" s="62" t="s">
        <v>458</v>
      </c>
      <c r="D24" s="60">
        <v>1</v>
      </c>
      <c r="E24" s="60">
        <v>0.81</v>
      </c>
      <c r="F24" s="60">
        <v>0.77</v>
      </c>
      <c r="G24" s="60">
        <v>0.71</v>
      </c>
      <c r="H24" s="55"/>
      <c r="I24" s="549" t="s">
        <v>207</v>
      </c>
      <c r="J24" s="550"/>
      <c r="K24" s="550"/>
      <c r="L24" s="550"/>
      <c r="M24" s="550"/>
      <c r="N24" s="56"/>
      <c r="O24" s="56"/>
    </row>
    <row r="25" spans="1:15" ht="32.5" customHeight="1" x14ac:dyDescent="0.2">
      <c r="A25" s="183"/>
      <c r="B25" s="69" t="s">
        <v>389</v>
      </c>
      <c r="C25" s="62"/>
      <c r="D25" s="60">
        <v>1.17</v>
      </c>
      <c r="E25" s="60">
        <v>1</v>
      </c>
      <c r="F25" s="60">
        <v>1.07</v>
      </c>
      <c r="G25" s="60">
        <v>1.35</v>
      </c>
      <c r="H25" s="55"/>
      <c r="I25" s="56" t="s">
        <v>225</v>
      </c>
      <c r="J25" s="56" t="s">
        <v>226</v>
      </c>
      <c r="K25" s="56" t="s">
        <v>227</v>
      </c>
      <c r="L25" s="56" t="s">
        <v>228</v>
      </c>
      <c r="M25" s="56"/>
      <c r="N25" s="472" t="s">
        <v>307</v>
      </c>
      <c r="O25" s="56"/>
    </row>
    <row r="26" spans="1:15" x14ac:dyDescent="0.2">
      <c r="B26" s="68"/>
      <c r="C26" s="63"/>
      <c r="D26" s="56"/>
      <c r="E26" s="56"/>
      <c r="F26" s="56"/>
      <c r="G26" s="56"/>
      <c r="H26" s="56"/>
      <c r="I26" s="56"/>
      <c r="J26" s="56"/>
      <c r="K26" s="56"/>
      <c r="L26" s="56"/>
      <c r="M26" s="56"/>
      <c r="N26" s="56"/>
      <c r="O26" s="56"/>
    </row>
    <row r="27" spans="1:15" x14ac:dyDescent="0.2">
      <c r="A27" s="187" t="s">
        <v>497</v>
      </c>
      <c r="B27" s="479"/>
      <c r="C27" s="72"/>
      <c r="D27" s="56"/>
      <c r="E27" s="56"/>
      <c r="F27" s="56"/>
      <c r="G27" s="56"/>
      <c r="H27" s="56"/>
      <c r="I27" s="56"/>
      <c r="J27" s="56"/>
      <c r="K27" s="56"/>
      <c r="L27" s="56"/>
      <c r="M27" s="56"/>
      <c r="N27" s="56"/>
      <c r="O27" s="56"/>
    </row>
    <row r="28" spans="1:15" ht="30" x14ac:dyDescent="0.2">
      <c r="B28" s="68" t="s">
        <v>346</v>
      </c>
      <c r="C28" s="63"/>
      <c r="D28" s="167">
        <v>25</v>
      </c>
      <c r="E28" s="56">
        <v>10</v>
      </c>
      <c r="F28" s="56">
        <v>40</v>
      </c>
      <c r="G28" s="56"/>
      <c r="H28" s="56"/>
      <c r="I28" s="56" t="s">
        <v>348</v>
      </c>
      <c r="J28" s="56" t="s">
        <v>347</v>
      </c>
      <c r="K28" s="56" t="s">
        <v>344</v>
      </c>
      <c r="L28" s="56"/>
      <c r="M28" s="56"/>
      <c r="N28" s="56"/>
      <c r="O28" s="56"/>
    </row>
    <row r="29" spans="1:15" ht="30" x14ac:dyDescent="0.2">
      <c r="B29" s="68" t="s">
        <v>460</v>
      </c>
      <c r="C29" s="63"/>
      <c r="D29" s="75">
        <v>0.26900000000000002</v>
      </c>
      <c r="E29" s="56"/>
      <c r="F29" s="56"/>
      <c r="G29" s="56"/>
      <c r="H29" s="56"/>
      <c r="I29" s="56" t="s">
        <v>232</v>
      </c>
      <c r="J29" s="56"/>
      <c r="K29" s="56"/>
      <c r="L29" s="56"/>
      <c r="M29" s="56"/>
      <c r="N29" s="56" t="s">
        <v>550</v>
      </c>
      <c r="O29" s="56"/>
    </row>
    <row r="30" spans="1:15" ht="30" x14ac:dyDescent="0.2">
      <c r="B30" s="68" t="s">
        <v>459</v>
      </c>
      <c r="C30" s="63"/>
      <c r="D30" s="75">
        <v>2.41</v>
      </c>
      <c r="E30" s="56"/>
      <c r="F30" s="56"/>
      <c r="G30" s="56"/>
      <c r="H30" s="56"/>
      <c r="I30" s="56" t="s">
        <v>233</v>
      </c>
      <c r="J30" s="56"/>
      <c r="K30" s="56"/>
      <c r="L30" s="56"/>
      <c r="M30" s="56"/>
      <c r="N30" s="56"/>
      <c r="O30" s="56"/>
    </row>
    <row r="31" spans="1:15" ht="30" x14ac:dyDescent="0.2">
      <c r="B31" s="68" t="s">
        <v>543</v>
      </c>
      <c r="C31" s="63"/>
      <c r="D31" s="154">
        <v>0.16600000000000001</v>
      </c>
      <c r="E31" s="56"/>
      <c r="F31" s="56"/>
      <c r="G31" s="56"/>
      <c r="H31" s="56"/>
      <c r="I31" s="56" t="s">
        <v>76</v>
      </c>
      <c r="J31" s="56"/>
      <c r="K31" s="56"/>
      <c r="L31" s="56"/>
      <c r="M31" s="56"/>
      <c r="N31" s="56"/>
      <c r="O31" s="56"/>
    </row>
    <row r="32" spans="1:15" ht="30" x14ac:dyDescent="0.2">
      <c r="B32" s="68" t="s">
        <v>372</v>
      </c>
      <c r="C32" s="63"/>
      <c r="D32" s="60">
        <v>0.3</v>
      </c>
      <c r="E32" s="174">
        <f>D31</f>
        <v>0.16600000000000001</v>
      </c>
      <c r="F32" s="56"/>
      <c r="G32" s="56"/>
      <c r="H32" s="56"/>
      <c r="I32" s="56" t="s">
        <v>374</v>
      </c>
      <c r="J32" s="56" t="s">
        <v>373</v>
      </c>
      <c r="K32" s="56"/>
      <c r="L32" s="56"/>
      <c r="M32" s="56"/>
      <c r="N32" s="56"/>
      <c r="O32" s="56"/>
    </row>
    <row r="33" spans="1:15" x14ac:dyDescent="0.2">
      <c r="B33" s="68" t="s">
        <v>241</v>
      </c>
      <c r="C33" s="63"/>
      <c r="D33" s="58">
        <v>1</v>
      </c>
      <c r="E33" s="58">
        <v>2</v>
      </c>
      <c r="F33" s="480">
        <f>4.7/2*(1/(1+0.05)^10)</f>
        <v>1.4426961458207845</v>
      </c>
      <c r="G33" s="56"/>
      <c r="H33" s="56"/>
      <c r="I33" s="56" t="s">
        <v>242</v>
      </c>
      <c r="J33" s="56" t="s">
        <v>249</v>
      </c>
      <c r="K33" s="56" t="s">
        <v>70</v>
      </c>
      <c r="L33" s="56"/>
      <c r="M33" s="56"/>
      <c r="N33" s="56"/>
      <c r="O33" s="56"/>
    </row>
    <row r="34" spans="1:15" x14ac:dyDescent="0.2">
      <c r="A34" s="183"/>
      <c r="B34" s="69"/>
      <c r="C34" s="62"/>
      <c r="D34" s="56"/>
      <c r="E34" s="56"/>
      <c r="F34" s="56"/>
      <c r="G34" s="56"/>
      <c r="H34" s="56"/>
      <c r="I34" s="56"/>
      <c r="J34" s="56"/>
      <c r="K34" s="56"/>
      <c r="L34" s="56"/>
      <c r="M34" s="56"/>
      <c r="N34" s="56"/>
      <c r="O34" s="56"/>
    </row>
    <row r="35" spans="1:15" x14ac:dyDescent="0.2">
      <c r="A35" s="192" t="s">
        <v>390</v>
      </c>
      <c r="B35" s="481"/>
      <c r="C35" s="63"/>
      <c r="D35" s="58"/>
      <c r="E35" s="56"/>
      <c r="F35" s="56"/>
      <c r="G35" s="56"/>
      <c r="H35" s="56"/>
      <c r="I35" s="482"/>
      <c r="J35" s="56"/>
      <c r="K35" s="56"/>
      <c r="L35" s="56"/>
      <c r="M35" s="56"/>
      <c r="N35" s="56"/>
      <c r="O35" s="56"/>
    </row>
    <row r="36" spans="1:15" x14ac:dyDescent="0.2">
      <c r="B36" s="68" t="s">
        <v>397</v>
      </c>
      <c r="C36" s="63"/>
      <c r="D36" s="151">
        <v>0.1</v>
      </c>
      <c r="E36" s="151">
        <v>0.05</v>
      </c>
      <c r="F36" s="151">
        <v>7.4999999999999997E-2</v>
      </c>
      <c r="G36" s="151"/>
      <c r="H36" s="151"/>
      <c r="I36" s="339" t="s">
        <v>335</v>
      </c>
      <c r="J36" s="339" t="s">
        <v>367</v>
      </c>
      <c r="K36" s="56" t="s">
        <v>368</v>
      </c>
      <c r="L36" s="56"/>
      <c r="M36" s="56"/>
      <c r="N36" s="56"/>
      <c r="O36" s="56"/>
    </row>
    <row r="37" spans="1:15" x14ac:dyDescent="0.2">
      <c r="B37" s="68" t="s">
        <v>391</v>
      </c>
      <c r="C37" s="63"/>
      <c r="D37" s="152">
        <v>0.8</v>
      </c>
      <c r="E37" s="152">
        <v>0.6</v>
      </c>
      <c r="F37" s="152">
        <v>0.9</v>
      </c>
      <c r="G37" s="152"/>
      <c r="H37" s="152"/>
      <c r="I37" s="339" t="s">
        <v>369</v>
      </c>
      <c r="J37" s="56" t="s">
        <v>370</v>
      </c>
      <c r="K37" s="56" t="s">
        <v>371</v>
      </c>
      <c r="L37" s="56"/>
      <c r="M37" s="56"/>
      <c r="N37" s="472" t="s">
        <v>302</v>
      </c>
      <c r="O37" s="56"/>
    </row>
    <row r="38" spans="1:15" x14ac:dyDescent="0.2">
      <c r="B38" s="68" t="s">
        <v>392</v>
      </c>
      <c r="C38" s="63"/>
      <c r="D38" s="152">
        <v>0.7</v>
      </c>
      <c r="E38" s="152"/>
      <c r="F38" s="152"/>
      <c r="G38" s="152"/>
      <c r="H38" s="152"/>
      <c r="I38" s="339" t="s">
        <v>61</v>
      </c>
      <c r="J38" s="56"/>
      <c r="K38" s="56"/>
      <c r="L38" s="56"/>
      <c r="M38" s="56"/>
      <c r="N38" s="472" t="s">
        <v>302</v>
      </c>
      <c r="O38" s="56"/>
    </row>
    <row r="39" spans="1:15" x14ac:dyDescent="0.2">
      <c r="B39" s="68" t="s">
        <v>406</v>
      </c>
      <c r="C39" s="63"/>
      <c r="D39" s="152">
        <v>1</v>
      </c>
      <c r="E39" s="152">
        <v>2</v>
      </c>
      <c r="F39" s="152"/>
      <c r="G39" s="152"/>
      <c r="H39" s="152"/>
      <c r="I39" s="339" t="s">
        <v>350</v>
      </c>
      <c r="J39" s="56" t="s">
        <v>351</v>
      </c>
      <c r="K39" s="56"/>
      <c r="L39" s="56"/>
      <c r="M39" s="56"/>
      <c r="N39" s="56"/>
      <c r="O39" s="56"/>
    </row>
    <row r="40" spans="1:15" x14ac:dyDescent="0.2">
      <c r="B40" s="68" t="s">
        <v>405</v>
      </c>
      <c r="C40" s="63"/>
      <c r="D40" s="152">
        <v>0.8</v>
      </c>
      <c r="E40" s="152">
        <v>1</v>
      </c>
      <c r="F40" s="152">
        <v>0.4</v>
      </c>
      <c r="G40" s="152"/>
      <c r="H40" s="152"/>
      <c r="I40" s="339" t="s">
        <v>35</v>
      </c>
      <c r="J40" s="56" t="s">
        <v>376</v>
      </c>
      <c r="K40" s="56" t="s">
        <v>377</v>
      </c>
      <c r="L40" s="56"/>
      <c r="M40" s="56"/>
      <c r="N40" s="56"/>
      <c r="O40" s="56"/>
    </row>
    <row r="41" spans="1:15" x14ac:dyDescent="0.2">
      <c r="B41" s="68" t="s">
        <v>399</v>
      </c>
      <c r="C41" s="63"/>
      <c r="D41" s="152">
        <v>0.66</v>
      </c>
      <c r="E41" s="152"/>
      <c r="F41" s="152"/>
      <c r="G41" s="152"/>
      <c r="H41" s="152"/>
      <c r="I41" s="339" t="s">
        <v>333</v>
      </c>
      <c r="J41" s="56"/>
      <c r="K41" s="56"/>
      <c r="L41" s="56"/>
      <c r="M41" s="56"/>
      <c r="N41" s="56"/>
      <c r="O41" s="56"/>
    </row>
    <row r="42" spans="1:15" x14ac:dyDescent="0.2">
      <c r="B42" s="68" t="s">
        <v>308</v>
      </c>
      <c r="C42" s="63"/>
      <c r="D42" s="152">
        <v>0.5</v>
      </c>
      <c r="E42" s="152">
        <v>0.75</v>
      </c>
      <c r="F42" s="152">
        <v>0.25</v>
      </c>
      <c r="G42" s="152"/>
      <c r="H42" s="152"/>
      <c r="I42" s="339" t="s">
        <v>378</v>
      </c>
      <c r="J42" s="56"/>
      <c r="K42" s="56"/>
      <c r="L42" s="56"/>
      <c r="M42" s="56"/>
      <c r="N42" s="472" t="s">
        <v>330</v>
      </c>
      <c r="O42" s="56"/>
    </row>
    <row r="43" spans="1:15" x14ac:dyDescent="0.2">
      <c r="B43" s="68" t="s">
        <v>400</v>
      </c>
      <c r="C43" s="63"/>
      <c r="D43" s="152">
        <v>0.8</v>
      </c>
      <c r="E43" s="152">
        <v>1</v>
      </c>
      <c r="F43" s="153">
        <f>16.6%*2</f>
        <v>0.33200000000000002</v>
      </c>
      <c r="G43" s="152"/>
      <c r="H43" s="152"/>
      <c r="I43" s="339" t="s">
        <v>379</v>
      </c>
      <c r="J43" s="56" t="s">
        <v>361</v>
      </c>
      <c r="K43" s="56" t="s">
        <v>352</v>
      </c>
      <c r="L43" s="56"/>
      <c r="M43" s="56"/>
      <c r="N43" s="56"/>
      <c r="O43" s="56"/>
    </row>
    <row r="44" spans="1:15" ht="30" x14ac:dyDescent="0.2">
      <c r="B44" s="68" t="s">
        <v>403</v>
      </c>
      <c r="C44" s="63"/>
      <c r="D44" s="153">
        <f>15*0.24*0.01</f>
        <v>3.5999999999999997E-2</v>
      </c>
      <c r="E44" s="153">
        <f>(0.24*15)*0.0075</f>
        <v>2.6999999999999996E-2</v>
      </c>
      <c r="F44" s="153">
        <f>D44*1.5</f>
        <v>5.3999999999999992E-2</v>
      </c>
      <c r="G44" s="152"/>
      <c r="H44" s="152"/>
      <c r="I44" s="339" t="s">
        <v>301</v>
      </c>
      <c r="J44" s="56" t="s">
        <v>354</v>
      </c>
      <c r="K44" s="56" t="s">
        <v>353</v>
      </c>
      <c r="L44" s="56"/>
      <c r="M44" s="56"/>
      <c r="N44" s="56"/>
      <c r="O44" s="56"/>
    </row>
    <row r="45" spans="1:15" x14ac:dyDescent="0.2">
      <c r="B45" s="68" t="s">
        <v>401</v>
      </c>
      <c r="C45" s="63"/>
      <c r="D45" s="58">
        <v>15</v>
      </c>
      <c r="E45" s="56"/>
      <c r="F45" s="56"/>
      <c r="G45" s="56"/>
      <c r="H45" s="56"/>
      <c r="I45" s="339" t="s">
        <v>402</v>
      </c>
      <c r="J45" s="56"/>
      <c r="K45" s="56"/>
      <c r="L45" s="56"/>
      <c r="M45" s="56"/>
      <c r="N45" s="56"/>
      <c r="O45" s="56"/>
    </row>
    <row r="46" spans="1:15" x14ac:dyDescent="0.2">
      <c r="B46" s="68" t="s">
        <v>404</v>
      </c>
      <c r="C46" s="63"/>
      <c r="D46" s="154">
        <v>0.43099999999999999</v>
      </c>
      <c r="E46" s="56"/>
      <c r="F46" s="56"/>
      <c r="G46" s="56"/>
      <c r="H46" s="56"/>
      <c r="I46" s="339" t="s">
        <v>254</v>
      </c>
      <c r="J46" s="56"/>
      <c r="K46" s="56"/>
      <c r="L46" s="56"/>
      <c r="M46" s="56"/>
      <c r="N46" s="56"/>
      <c r="O46" s="56"/>
    </row>
    <row r="47" spans="1:15" x14ac:dyDescent="0.2">
      <c r="B47" s="68"/>
      <c r="C47" s="63"/>
      <c r="D47" s="58"/>
      <c r="E47" s="56"/>
      <c r="F47" s="56"/>
      <c r="G47" s="56"/>
      <c r="H47" s="56"/>
      <c r="I47" s="56"/>
      <c r="J47" s="56"/>
      <c r="K47" s="56"/>
      <c r="L47" s="56"/>
      <c r="M47" s="56"/>
      <c r="N47" s="56"/>
      <c r="O47" s="56"/>
    </row>
    <row r="48" spans="1:15" x14ac:dyDescent="0.2">
      <c r="A48" s="187" t="s">
        <v>566</v>
      </c>
      <c r="B48" s="479"/>
      <c r="C48" s="72"/>
      <c r="D48" s="56"/>
      <c r="E48" s="56"/>
      <c r="F48" s="56"/>
      <c r="G48" s="56"/>
      <c r="H48" s="56"/>
      <c r="I48" s="56"/>
      <c r="J48" s="56"/>
      <c r="K48" s="56"/>
      <c r="L48" s="56"/>
      <c r="M48" s="56"/>
      <c r="N48" s="56"/>
      <c r="O48" s="56"/>
    </row>
    <row r="49" spans="1:15" ht="30" x14ac:dyDescent="0.2">
      <c r="A49" s="190"/>
      <c r="B49" s="68" t="s">
        <v>502</v>
      </c>
      <c r="C49" s="63"/>
      <c r="D49" s="519">
        <f>Bednets!$G$44</f>
        <v>2838.2630576673801</v>
      </c>
      <c r="E49" s="56"/>
      <c r="F49" s="56"/>
      <c r="G49" s="56"/>
      <c r="H49" s="56"/>
      <c r="I49" s="473" t="s">
        <v>118</v>
      </c>
      <c r="J49" s="473"/>
      <c r="K49" s="473"/>
      <c r="L49" s="473"/>
      <c r="M49" s="473"/>
      <c r="N49" s="56"/>
      <c r="O49" s="56"/>
    </row>
    <row r="50" spans="1:15" ht="30" x14ac:dyDescent="0.2">
      <c r="A50" s="190"/>
      <c r="B50" s="68" t="s">
        <v>503</v>
      </c>
      <c r="C50" s="63"/>
      <c r="D50" s="409">
        <f>Bednets!$G$43</f>
        <v>3.6112369528824271</v>
      </c>
      <c r="E50" s="56"/>
      <c r="F50" s="56"/>
      <c r="G50" s="56"/>
      <c r="H50" s="56"/>
      <c r="I50" s="473" t="s">
        <v>118</v>
      </c>
      <c r="J50" s="473"/>
      <c r="K50" s="473"/>
      <c r="L50" s="473"/>
      <c r="M50" s="473"/>
      <c r="N50" s="56"/>
      <c r="O50" s="56"/>
    </row>
    <row r="51" spans="1:15" ht="45" x14ac:dyDescent="0.2">
      <c r="A51" s="190"/>
      <c r="B51" s="68" t="s">
        <v>77</v>
      </c>
      <c r="C51" s="63"/>
      <c r="D51" s="60">
        <v>2</v>
      </c>
      <c r="E51" s="60">
        <v>1</v>
      </c>
      <c r="F51" s="56"/>
      <c r="G51" s="56"/>
      <c r="H51" s="56"/>
      <c r="I51" s="473" t="s">
        <v>119</v>
      </c>
      <c r="J51" s="473"/>
      <c r="K51" s="473"/>
      <c r="L51" s="473"/>
      <c r="M51" s="473"/>
      <c r="N51" s="56"/>
      <c r="O51" s="56"/>
    </row>
    <row r="52" spans="1:15" x14ac:dyDescent="0.2">
      <c r="B52" s="68"/>
      <c r="C52" s="63"/>
      <c r="D52" s="56"/>
      <c r="E52" s="56"/>
      <c r="F52" s="56"/>
      <c r="G52" s="56"/>
      <c r="H52" s="56"/>
      <c r="I52" s="56"/>
      <c r="J52" s="56"/>
      <c r="K52" s="56"/>
      <c r="L52" s="56"/>
      <c r="M52" s="56"/>
      <c r="N52" s="56"/>
      <c r="O52" s="56"/>
    </row>
    <row r="53" spans="1:15" x14ac:dyDescent="0.2">
      <c r="A53" s="187" t="s">
        <v>576</v>
      </c>
      <c r="B53" s="479"/>
      <c r="C53" s="63"/>
      <c r="D53" s="56"/>
      <c r="E53" s="56"/>
      <c r="F53" s="56"/>
      <c r="G53" s="56"/>
      <c r="H53" s="56"/>
      <c r="I53" s="56"/>
      <c r="J53" s="56"/>
      <c r="K53" s="56"/>
      <c r="L53" s="56"/>
      <c r="M53" s="56"/>
      <c r="N53" s="56"/>
      <c r="O53" s="56"/>
    </row>
    <row r="54" spans="1:15" x14ac:dyDescent="0.2">
      <c r="B54" s="68" t="s">
        <v>577</v>
      </c>
      <c r="C54" s="63"/>
      <c r="D54" s="60">
        <v>0.1</v>
      </c>
      <c r="E54" s="60">
        <v>0</v>
      </c>
      <c r="F54" s="60">
        <v>0.19</v>
      </c>
      <c r="G54" s="60">
        <v>0.23</v>
      </c>
      <c r="H54" s="55">
        <f>AVERAGE(D93:E93)</f>
        <v>0.45670833333333333</v>
      </c>
      <c r="I54" s="56" t="s">
        <v>340</v>
      </c>
      <c r="J54" s="56" t="s">
        <v>341</v>
      </c>
      <c r="K54" s="56" t="s">
        <v>342</v>
      </c>
      <c r="L54" s="56" t="s">
        <v>321</v>
      </c>
      <c r="M54" s="56" t="s">
        <v>322</v>
      </c>
      <c r="N54" s="472" t="s">
        <v>380</v>
      </c>
      <c r="O54" s="56"/>
    </row>
    <row r="55" spans="1:15" x14ac:dyDescent="0.2">
      <c r="B55" s="68" t="s">
        <v>525</v>
      </c>
      <c r="C55" s="63"/>
      <c r="D55" s="60">
        <v>0.5</v>
      </c>
      <c r="E55" s="60">
        <v>0.25</v>
      </c>
      <c r="F55" s="60">
        <v>0.75</v>
      </c>
      <c r="G55" s="60"/>
      <c r="H55" s="56"/>
      <c r="I55" s="56" t="s">
        <v>343</v>
      </c>
      <c r="J55" s="56" t="s">
        <v>430</v>
      </c>
      <c r="K55" s="56" t="s">
        <v>431</v>
      </c>
      <c r="L55" s="56"/>
      <c r="M55" s="56"/>
      <c r="N55" s="56"/>
      <c r="O55" s="56"/>
    </row>
    <row r="56" spans="1:15" x14ac:dyDescent="0.2">
      <c r="B56" s="68" t="s">
        <v>498</v>
      </c>
      <c r="C56" s="63"/>
      <c r="D56" s="58">
        <v>5</v>
      </c>
      <c r="E56" s="56">
        <v>15</v>
      </c>
      <c r="F56" s="58">
        <v>20</v>
      </c>
      <c r="G56" s="58">
        <v>40</v>
      </c>
      <c r="H56" s="58">
        <v>80</v>
      </c>
      <c r="I56" s="56" t="s">
        <v>471</v>
      </c>
      <c r="J56" s="56" t="s">
        <v>334</v>
      </c>
      <c r="K56" s="56" t="s">
        <v>79</v>
      </c>
      <c r="L56" s="56" t="s">
        <v>470</v>
      </c>
      <c r="M56" s="56" t="s">
        <v>323</v>
      </c>
      <c r="N56" s="56"/>
      <c r="O56" s="56"/>
    </row>
    <row r="57" spans="1:15" x14ac:dyDescent="0.2">
      <c r="B57" s="68" t="s">
        <v>547</v>
      </c>
      <c r="C57" s="63"/>
      <c r="D57" s="154">
        <v>0.84499999999999997</v>
      </c>
      <c r="E57" s="153">
        <v>0.80800000000000005</v>
      </c>
      <c r="F57" s="60">
        <v>0.75</v>
      </c>
      <c r="G57" s="58"/>
      <c r="H57" s="58"/>
      <c r="I57" s="56" t="s">
        <v>104</v>
      </c>
      <c r="J57" s="56" t="s">
        <v>324</v>
      </c>
      <c r="K57" s="56" t="s">
        <v>62</v>
      </c>
      <c r="L57" s="56"/>
      <c r="M57" s="56"/>
      <c r="N57" s="472" t="s">
        <v>332</v>
      </c>
      <c r="O57" s="56"/>
    </row>
    <row r="58" spans="1:15" x14ac:dyDescent="0.2">
      <c r="B58" s="68" t="s">
        <v>501</v>
      </c>
      <c r="C58" s="63"/>
      <c r="D58" s="168">
        <f>D71</f>
        <v>285.92228810603416</v>
      </c>
      <c r="E58" s="56"/>
      <c r="F58" s="56"/>
      <c r="G58" s="56"/>
      <c r="H58" s="483"/>
      <c r="I58" s="56" t="s">
        <v>331</v>
      </c>
      <c r="J58" s="56"/>
      <c r="K58" s="56"/>
      <c r="L58" s="56"/>
      <c r="M58" s="56"/>
      <c r="N58" s="472" t="s">
        <v>252</v>
      </c>
      <c r="O58" s="56"/>
    </row>
    <row r="59" spans="1:15" x14ac:dyDescent="0.2">
      <c r="B59" s="68" t="s">
        <v>545</v>
      </c>
      <c r="C59" s="63"/>
      <c r="D59" s="175">
        <v>1000</v>
      </c>
      <c r="E59" s="56"/>
      <c r="F59" s="56"/>
      <c r="G59" s="56"/>
      <c r="H59" s="56"/>
      <c r="I59" s="484" t="s">
        <v>499</v>
      </c>
      <c r="J59" s="56"/>
      <c r="K59" s="56"/>
      <c r="L59" s="56"/>
      <c r="M59" s="56"/>
      <c r="N59" s="56"/>
      <c r="O59" s="56"/>
    </row>
    <row r="60" spans="1:15" x14ac:dyDescent="0.2">
      <c r="B60" s="68" t="s">
        <v>546</v>
      </c>
      <c r="C60" s="63"/>
      <c r="D60" s="168">
        <f>D59/D61</f>
        <v>212.7659574468085</v>
      </c>
      <c r="E60" s="56"/>
      <c r="F60" s="56"/>
      <c r="G60" s="56"/>
      <c r="H60" s="56"/>
      <c r="I60" s="61" t="s">
        <v>427</v>
      </c>
      <c r="J60" s="56"/>
      <c r="K60" s="56"/>
      <c r="L60" s="56"/>
      <c r="M60" s="56"/>
      <c r="N60" s="484"/>
      <c r="O60" s="56"/>
    </row>
    <row r="61" spans="1:15" x14ac:dyDescent="0.2">
      <c r="B61" s="68" t="s">
        <v>500</v>
      </c>
      <c r="C61" s="63"/>
      <c r="D61" s="56">
        <v>4.7</v>
      </c>
      <c r="E61" s="56"/>
      <c r="F61" s="56"/>
      <c r="G61" s="56"/>
      <c r="H61" s="56"/>
      <c r="I61" s="61" t="s">
        <v>283</v>
      </c>
      <c r="J61" s="56"/>
      <c r="K61" s="56"/>
      <c r="L61" s="56"/>
      <c r="M61" s="56"/>
      <c r="N61" s="484" t="s">
        <v>499</v>
      </c>
      <c r="O61" s="56"/>
    </row>
    <row r="62" spans="1:15" x14ac:dyDescent="0.2">
      <c r="B62" s="68"/>
      <c r="C62" s="63"/>
      <c r="D62" s="168"/>
      <c r="E62" s="56"/>
      <c r="F62" s="56"/>
      <c r="G62" s="56"/>
      <c r="H62" s="56"/>
      <c r="I62" s="482"/>
      <c r="J62" s="56"/>
      <c r="K62" s="56"/>
      <c r="L62" s="56"/>
      <c r="M62" s="56"/>
      <c r="N62" s="56"/>
      <c r="O62" s="56"/>
    </row>
    <row r="63" spans="1:15" x14ac:dyDescent="0.2">
      <c r="B63" s="68" t="s">
        <v>504</v>
      </c>
      <c r="C63" s="63"/>
      <c r="D63" s="175">
        <v>1085</v>
      </c>
      <c r="E63" s="56"/>
      <c r="F63" s="56"/>
      <c r="G63" s="56"/>
      <c r="H63" s="56"/>
      <c r="I63" s="544" t="s">
        <v>0</v>
      </c>
      <c r="J63" s="545"/>
      <c r="K63" s="545"/>
      <c r="L63" s="545"/>
      <c r="M63" s="545"/>
      <c r="N63" s="545"/>
      <c r="O63" s="545"/>
    </row>
    <row r="64" spans="1:15" x14ac:dyDescent="0.2">
      <c r="B64" s="68" t="s">
        <v>505</v>
      </c>
      <c r="C64" s="63"/>
      <c r="D64" s="175">
        <v>287</v>
      </c>
      <c r="E64" s="56"/>
      <c r="F64" s="56"/>
      <c r="G64" s="56"/>
      <c r="H64" s="56"/>
      <c r="I64" s="545"/>
      <c r="J64" s="545"/>
      <c r="K64" s="545"/>
      <c r="L64" s="545"/>
      <c r="M64" s="545"/>
      <c r="N64" s="545"/>
      <c r="O64" s="545"/>
    </row>
    <row r="65" spans="1:15" x14ac:dyDescent="0.2">
      <c r="B65" s="68" t="s">
        <v>506</v>
      </c>
      <c r="C65" s="63"/>
      <c r="D65" s="56">
        <f>1525/D63</f>
        <v>1.4055299539170507</v>
      </c>
      <c r="E65" s="56" t="s">
        <v>461</v>
      </c>
      <c r="F65" s="56"/>
      <c r="G65" s="56"/>
      <c r="H65" s="56"/>
      <c r="I65" s="545"/>
      <c r="J65" s="545"/>
      <c r="K65" s="545"/>
      <c r="L65" s="545"/>
      <c r="M65" s="545"/>
      <c r="N65" s="545"/>
      <c r="O65" s="545"/>
    </row>
    <row r="66" spans="1:15" x14ac:dyDescent="0.2">
      <c r="B66" s="68" t="s">
        <v>507</v>
      </c>
      <c r="C66" s="63"/>
      <c r="D66" s="175">
        <v>137</v>
      </c>
      <c r="E66" s="56"/>
      <c r="F66" s="56"/>
      <c r="G66" s="56"/>
      <c r="H66" s="56"/>
      <c r="I66" s="545"/>
      <c r="J66" s="545"/>
      <c r="K66" s="545"/>
      <c r="L66" s="545"/>
      <c r="M66" s="545"/>
      <c r="N66" s="545"/>
      <c r="O66" s="545"/>
    </row>
    <row r="67" spans="1:15" x14ac:dyDescent="0.2">
      <c r="B67" s="68" t="s">
        <v>508</v>
      </c>
      <c r="C67" s="63"/>
      <c r="D67" s="175">
        <v>348</v>
      </c>
      <c r="E67" s="56"/>
      <c r="F67" s="56"/>
      <c r="G67" s="56"/>
      <c r="H67" s="56"/>
      <c r="I67" s="545"/>
      <c r="J67" s="545"/>
      <c r="K67" s="545"/>
      <c r="L67" s="545"/>
      <c r="M67" s="545"/>
      <c r="N67" s="545"/>
      <c r="O67" s="545"/>
    </row>
    <row r="68" spans="1:15" x14ac:dyDescent="0.2">
      <c r="A68" s="81"/>
      <c r="B68" s="485" t="s">
        <v>462</v>
      </c>
      <c r="C68" s="63"/>
      <c r="D68" s="168">
        <v>157.4</v>
      </c>
      <c r="E68" s="56"/>
      <c r="F68" s="56"/>
      <c r="G68" s="56"/>
      <c r="H68" s="56"/>
      <c r="I68" s="545"/>
      <c r="J68" s="545"/>
      <c r="K68" s="545"/>
      <c r="L68" s="545"/>
      <c r="M68" s="545"/>
      <c r="N68" s="545"/>
      <c r="O68" s="545"/>
    </row>
    <row r="69" spans="1:15" x14ac:dyDescent="0.2">
      <c r="B69" s="190" t="s">
        <v>463</v>
      </c>
      <c r="C69" s="63"/>
      <c r="D69" s="168">
        <f>D68/D65</f>
        <v>111.98622950819673</v>
      </c>
      <c r="E69" s="56"/>
      <c r="F69" s="56"/>
      <c r="G69" s="56"/>
      <c r="H69" s="56"/>
      <c r="I69" s="545"/>
      <c r="J69" s="545"/>
      <c r="K69" s="545"/>
      <c r="L69" s="545"/>
      <c r="M69" s="545"/>
      <c r="N69" s="545"/>
      <c r="O69" s="545"/>
    </row>
    <row r="70" spans="1:15" x14ac:dyDescent="0.2">
      <c r="B70" s="190" t="s">
        <v>512</v>
      </c>
      <c r="C70" s="63"/>
      <c r="D70" s="168">
        <f>D69/D61</f>
        <v>23.826857342169514</v>
      </c>
      <c r="E70" s="56"/>
      <c r="F70" s="56"/>
      <c r="G70" s="56"/>
      <c r="H70" s="56"/>
      <c r="I70" s="545"/>
      <c r="J70" s="545"/>
      <c r="K70" s="545"/>
      <c r="L70" s="545"/>
      <c r="M70" s="545"/>
      <c r="N70" s="545"/>
      <c r="O70" s="545"/>
    </row>
    <row r="71" spans="1:15" x14ac:dyDescent="0.2">
      <c r="B71" s="190" t="s">
        <v>513</v>
      </c>
      <c r="C71" s="63"/>
      <c r="D71" s="168">
        <f>D70*12</f>
        <v>285.92228810603416</v>
      </c>
      <c r="E71" s="56"/>
      <c r="F71" s="56"/>
      <c r="G71" s="56"/>
      <c r="H71" s="56"/>
      <c r="I71" s="545"/>
      <c r="J71" s="545"/>
      <c r="K71" s="545"/>
      <c r="L71" s="545"/>
      <c r="M71" s="545"/>
      <c r="N71" s="545"/>
      <c r="O71" s="545"/>
    </row>
    <row r="72" spans="1:15" x14ac:dyDescent="0.2">
      <c r="B72" s="68" t="s">
        <v>509</v>
      </c>
      <c r="C72" s="63"/>
      <c r="D72" s="168">
        <f>(D66*D63+D67*D64)/SUM(D66:D67)</f>
        <v>512.41443298969068</v>
      </c>
      <c r="E72" s="56"/>
      <c r="F72" s="56"/>
      <c r="G72" s="56"/>
      <c r="H72" s="56"/>
      <c r="I72" s="545"/>
      <c r="J72" s="545"/>
      <c r="K72" s="545"/>
      <c r="L72" s="545"/>
      <c r="M72" s="545"/>
      <c r="N72" s="545"/>
      <c r="O72" s="545"/>
    </row>
    <row r="73" spans="1:15" x14ac:dyDescent="0.2">
      <c r="B73" s="68" t="s">
        <v>510</v>
      </c>
      <c r="C73" s="63"/>
      <c r="D73" s="168">
        <f>D72*D65</f>
        <v>720.21383438643159</v>
      </c>
      <c r="E73" s="56"/>
      <c r="F73" s="56"/>
      <c r="G73" s="56"/>
      <c r="H73" s="56"/>
      <c r="I73" s="545"/>
      <c r="J73" s="545"/>
      <c r="K73" s="545"/>
      <c r="L73" s="545"/>
      <c r="M73" s="545"/>
      <c r="N73" s="545"/>
      <c r="O73" s="545"/>
    </row>
    <row r="74" spans="1:15" x14ac:dyDescent="0.2">
      <c r="B74" s="68"/>
      <c r="C74" s="63"/>
      <c r="D74" s="56"/>
      <c r="E74" s="56"/>
      <c r="F74" s="56"/>
      <c r="G74" s="56"/>
      <c r="H74" s="56"/>
      <c r="I74" s="56"/>
      <c r="J74" s="56"/>
      <c r="K74" s="56"/>
      <c r="L74" s="56"/>
      <c r="M74" s="56"/>
      <c r="N74" s="56"/>
      <c r="O74" s="56"/>
    </row>
    <row r="75" spans="1:15" x14ac:dyDescent="0.2">
      <c r="B75" s="68" t="s">
        <v>423</v>
      </c>
      <c r="C75" s="63"/>
      <c r="D75" s="168">
        <v>278.52</v>
      </c>
      <c r="E75" s="56"/>
      <c r="F75" s="56"/>
      <c r="G75" s="56"/>
      <c r="H75" s="483"/>
      <c r="I75" s="544" t="s">
        <v>1</v>
      </c>
      <c r="J75" s="545"/>
      <c r="K75" s="545"/>
      <c r="L75" s="545"/>
      <c r="M75" s="545"/>
      <c r="N75" s="545"/>
      <c r="O75" s="545"/>
    </row>
    <row r="76" spans="1:15" x14ac:dyDescent="0.2">
      <c r="B76" s="190" t="s">
        <v>424</v>
      </c>
      <c r="C76" s="63"/>
      <c r="D76" s="168">
        <v>36.18</v>
      </c>
      <c r="E76" s="56"/>
      <c r="F76" s="56"/>
      <c r="G76" s="56"/>
      <c r="H76" s="56"/>
      <c r="I76" s="545"/>
      <c r="J76" s="545"/>
      <c r="K76" s="545"/>
      <c r="L76" s="545"/>
      <c r="M76" s="545"/>
      <c r="N76" s="545"/>
      <c r="O76" s="545"/>
    </row>
    <row r="77" spans="1:15" x14ac:dyDescent="0.2">
      <c r="B77" s="190"/>
      <c r="C77" s="63"/>
      <c r="D77" s="56"/>
      <c r="E77" s="56"/>
      <c r="F77" s="56"/>
      <c r="G77" s="56"/>
      <c r="H77" s="56"/>
      <c r="I77" s="189"/>
      <c r="J77" s="189"/>
      <c r="K77" s="189"/>
      <c r="L77" s="189"/>
      <c r="M77" s="189"/>
      <c r="N77" s="189"/>
      <c r="O77" s="189"/>
    </row>
    <row r="78" spans="1:15" x14ac:dyDescent="0.2">
      <c r="B78" s="68" t="s">
        <v>511</v>
      </c>
      <c r="C78" s="63"/>
      <c r="D78" s="175">
        <v>564</v>
      </c>
      <c r="E78" s="56"/>
      <c r="F78" s="56"/>
      <c r="G78" s="56"/>
      <c r="H78" s="56"/>
      <c r="I78" s="546" t="s">
        <v>2</v>
      </c>
      <c r="J78" s="545"/>
      <c r="K78" s="545"/>
      <c r="L78" s="545"/>
      <c r="M78" s="545"/>
      <c r="N78" s="545"/>
      <c r="O78" s="545"/>
    </row>
    <row r="79" spans="1:15" ht="30" x14ac:dyDescent="0.2">
      <c r="B79" s="68" t="s">
        <v>451</v>
      </c>
      <c r="C79" s="63"/>
      <c r="D79" s="175">
        <v>107</v>
      </c>
      <c r="E79" s="56"/>
      <c r="F79" s="56"/>
      <c r="G79" s="56"/>
      <c r="H79" s="56"/>
      <c r="I79" s="545"/>
      <c r="J79" s="545"/>
      <c r="K79" s="545"/>
      <c r="L79" s="545"/>
      <c r="M79" s="545"/>
      <c r="N79" s="545"/>
      <c r="O79" s="545"/>
    </row>
    <row r="80" spans="1:15" x14ac:dyDescent="0.2">
      <c r="B80" s="68" t="s">
        <v>428</v>
      </c>
      <c r="C80" s="63"/>
      <c r="D80" s="60">
        <v>0.23</v>
      </c>
      <c r="E80" s="56"/>
      <c r="F80" s="56"/>
      <c r="G80" s="56"/>
      <c r="H80" s="56"/>
      <c r="I80" s="545"/>
      <c r="J80" s="545"/>
      <c r="K80" s="545"/>
      <c r="L80" s="545"/>
      <c r="M80" s="545"/>
      <c r="N80" s="545"/>
      <c r="O80" s="545"/>
    </row>
    <row r="81" spans="1:15" x14ac:dyDescent="0.2">
      <c r="B81" s="68"/>
      <c r="C81" s="63"/>
      <c r="D81" s="60"/>
      <c r="E81" s="56"/>
      <c r="F81" s="56"/>
      <c r="G81" s="56"/>
      <c r="H81" s="56"/>
      <c r="I81" s="56"/>
      <c r="J81" s="56"/>
      <c r="K81" s="56"/>
      <c r="L81" s="56"/>
      <c r="M81" s="56"/>
      <c r="N81" s="56"/>
      <c r="O81" s="56"/>
    </row>
    <row r="82" spans="1:15" x14ac:dyDescent="0.2">
      <c r="B82" s="68" t="s">
        <v>425</v>
      </c>
      <c r="C82" s="63"/>
      <c r="D82" s="55">
        <f>RATE(20,-D79,D78)</f>
        <v>0.18315022118846105</v>
      </c>
      <c r="E82" s="60"/>
      <c r="F82" s="56"/>
      <c r="G82" s="56"/>
      <c r="H82" s="56"/>
      <c r="I82" s="56" t="s">
        <v>427</v>
      </c>
      <c r="J82" s="56"/>
      <c r="K82" s="56"/>
      <c r="L82" s="56"/>
      <c r="M82" s="56"/>
      <c r="N82" s="56"/>
      <c r="O82" s="56"/>
    </row>
    <row r="83" spans="1:15" x14ac:dyDescent="0.2">
      <c r="B83" s="68" t="s">
        <v>426</v>
      </c>
      <c r="C83" s="63"/>
      <c r="D83" s="55">
        <f>D79/D78</f>
        <v>0.18971631205673758</v>
      </c>
      <c r="E83" s="56"/>
      <c r="F83" s="56"/>
      <c r="G83" s="56"/>
      <c r="H83" s="56"/>
      <c r="I83" s="56" t="s">
        <v>427</v>
      </c>
      <c r="J83" s="56"/>
      <c r="K83" s="56"/>
      <c r="L83" s="56"/>
      <c r="M83" s="56"/>
      <c r="N83" s="56"/>
      <c r="O83" s="56"/>
    </row>
    <row r="84" spans="1:15" x14ac:dyDescent="0.2">
      <c r="B84" s="68"/>
      <c r="C84" s="63"/>
      <c r="D84" s="60"/>
      <c r="E84" s="56"/>
      <c r="F84" s="56"/>
      <c r="G84" s="56"/>
      <c r="H84" s="56"/>
      <c r="I84" s="56"/>
      <c r="J84" s="56"/>
      <c r="K84" s="56"/>
      <c r="L84" s="56"/>
      <c r="M84" s="56"/>
      <c r="N84" s="56"/>
      <c r="O84" s="56"/>
    </row>
    <row r="85" spans="1:15" ht="30" x14ac:dyDescent="0.2">
      <c r="A85" s="187"/>
      <c r="B85" s="479" t="s">
        <v>464</v>
      </c>
      <c r="C85" s="63"/>
      <c r="D85" s="55" t="s">
        <v>514</v>
      </c>
      <c r="E85" s="55" t="s">
        <v>515</v>
      </c>
      <c r="F85" s="56"/>
      <c r="G85" s="56"/>
      <c r="H85" s="66"/>
      <c r="I85" s="66" t="s">
        <v>465</v>
      </c>
      <c r="J85" s="472" t="s">
        <v>516</v>
      </c>
      <c r="K85" s="56"/>
      <c r="L85" s="56"/>
      <c r="M85" s="56"/>
      <c r="N85" s="56"/>
      <c r="O85" s="56"/>
    </row>
    <row r="86" spans="1:15" x14ac:dyDescent="0.2">
      <c r="A86" s="193"/>
      <c r="B86" s="486" t="s">
        <v>517</v>
      </c>
      <c r="C86" s="63"/>
      <c r="D86" s="55">
        <v>0.35</v>
      </c>
      <c r="E86" s="55">
        <v>0.73799999999999999</v>
      </c>
      <c r="F86" s="56"/>
      <c r="G86" s="56"/>
      <c r="H86" s="66"/>
      <c r="I86" s="66" t="s">
        <v>466</v>
      </c>
      <c r="J86" s="472" t="s">
        <v>3</v>
      </c>
      <c r="K86" s="56"/>
      <c r="L86" s="56"/>
      <c r="M86" s="56"/>
      <c r="N86" s="56"/>
      <c r="O86" s="56"/>
    </row>
    <row r="87" spans="1:15" x14ac:dyDescent="0.2">
      <c r="A87" s="193"/>
      <c r="B87" s="486" t="s">
        <v>518</v>
      </c>
      <c r="C87" s="63"/>
      <c r="D87" s="55">
        <f>6%*12/2</f>
        <v>0.36</v>
      </c>
      <c r="E87" s="55">
        <f>12%*12/2</f>
        <v>0.72</v>
      </c>
      <c r="F87" s="56"/>
      <c r="G87" s="56"/>
      <c r="H87" s="56"/>
      <c r="I87" s="56" t="s">
        <v>468</v>
      </c>
      <c r="J87" s="56"/>
      <c r="K87" s="56"/>
      <c r="L87" s="56"/>
      <c r="M87" s="56"/>
      <c r="N87" s="56"/>
      <c r="O87" s="56"/>
    </row>
    <row r="88" spans="1:15" x14ac:dyDescent="0.2">
      <c r="A88" s="193"/>
      <c r="B88" s="486" t="s">
        <v>519</v>
      </c>
      <c r="C88" s="63"/>
      <c r="D88" s="55">
        <v>0</v>
      </c>
      <c r="E88" s="55">
        <v>0</v>
      </c>
      <c r="F88" s="56"/>
      <c r="G88" s="56"/>
      <c r="H88" s="56"/>
      <c r="I88" s="56" t="s">
        <v>520</v>
      </c>
      <c r="J88" s="56"/>
      <c r="K88" s="56"/>
      <c r="L88" s="56"/>
      <c r="M88" s="56"/>
      <c r="N88" s="56"/>
      <c r="O88" s="56"/>
    </row>
    <row r="89" spans="1:15" x14ac:dyDescent="0.2">
      <c r="A89" s="193"/>
      <c r="B89" s="486" t="s">
        <v>521</v>
      </c>
      <c r="C89" s="63"/>
      <c r="D89" s="55">
        <f>28.8%*12</f>
        <v>3.4560000000000004</v>
      </c>
      <c r="E89" s="55">
        <f>45.6%*12</f>
        <v>5.4720000000000004</v>
      </c>
      <c r="F89" s="56"/>
      <c r="G89" s="56"/>
      <c r="H89" s="56"/>
      <c r="I89" s="56" t="s">
        <v>469</v>
      </c>
      <c r="J89" s="56"/>
      <c r="K89" s="56"/>
      <c r="L89" s="56"/>
      <c r="M89" s="56"/>
      <c r="N89" s="56"/>
      <c r="O89" s="56"/>
    </row>
    <row r="90" spans="1:15" x14ac:dyDescent="0.2">
      <c r="A90" s="193"/>
      <c r="B90" s="486" t="s">
        <v>522</v>
      </c>
      <c r="C90" s="63"/>
      <c r="D90" s="55">
        <v>0.3</v>
      </c>
      <c r="E90" s="55">
        <v>0.49</v>
      </c>
      <c r="F90" s="56"/>
      <c r="G90" s="56"/>
      <c r="H90" s="56"/>
      <c r="I90" s="56"/>
      <c r="J90" s="56"/>
      <c r="K90" s="56"/>
      <c r="L90" s="56"/>
      <c r="M90" s="56"/>
      <c r="N90" s="56"/>
      <c r="O90" s="56"/>
    </row>
    <row r="91" spans="1:15" x14ac:dyDescent="0.2">
      <c r="A91" s="193"/>
      <c r="B91" s="486" t="s">
        <v>523</v>
      </c>
      <c r="C91" s="63"/>
      <c r="D91" s="55"/>
      <c r="E91" s="55">
        <v>0.35899999999999999</v>
      </c>
      <c r="F91" s="56"/>
      <c r="G91" s="56"/>
      <c r="H91" s="56"/>
      <c r="I91" s="56"/>
      <c r="J91" s="56"/>
      <c r="K91" s="56"/>
      <c r="L91" s="56"/>
      <c r="M91" s="56"/>
      <c r="N91" s="56"/>
      <c r="O91" s="56"/>
    </row>
    <row r="92" spans="1:15" x14ac:dyDescent="0.2">
      <c r="B92" s="68"/>
      <c r="C92" s="63"/>
      <c r="D92" s="55"/>
      <c r="E92" s="55"/>
      <c r="F92" s="56"/>
      <c r="G92" s="56"/>
      <c r="H92" s="56"/>
      <c r="I92" s="56"/>
      <c r="J92" s="56"/>
      <c r="K92" s="56"/>
      <c r="L92" s="56"/>
      <c r="M92" s="56"/>
      <c r="N92" s="56"/>
      <c r="O92" s="56"/>
    </row>
    <row r="93" spans="1:15" x14ac:dyDescent="0.2">
      <c r="A93" s="193"/>
      <c r="B93" s="486" t="s">
        <v>524</v>
      </c>
      <c r="C93" s="63"/>
      <c r="D93" s="55">
        <f>(D86+D87+D90)/3</f>
        <v>0.33666666666666667</v>
      </c>
      <c r="E93" s="55">
        <f>(E86+E87+E90+E91)/4</f>
        <v>0.57674999999999998</v>
      </c>
      <c r="F93" s="56"/>
      <c r="G93" s="55"/>
      <c r="H93" s="56"/>
      <c r="I93" s="56" t="s">
        <v>467</v>
      </c>
      <c r="J93" s="56"/>
      <c r="K93" s="56"/>
      <c r="L93" s="56"/>
      <c r="M93" s="56"/>
      <c r="N93" s="56"/>
      <c r="O93" s="56"/>
    </row>
  </sheetData>
  <mergeCells count="7">
    <mergeCell ref="I75:O76"/>
    <mergeCell ref="I78:O80"/>
    <mergeCell ref="D1:H1"/>
    <mergeCell ref="I1:M1"/>
    <mergeCell ref="I24:M24"/>
    <mergeCell ref="I9:M9"/>
    <mergeCell ref="I63:O73"/>
  </mergeCells>
  <phoneticPr fontId="49" type="noConversion"/>
  <hyperlinks>
    <hyperlink ref="J85" r:id="rId1" location="Whatreturnoninvestmentdocashtransferrecipientsearn"/>
    <hyperlink ref="J86" r:id="rId2"/>
    <hyperlink ref="N61" r:id="rId3"/>
    <hyperlink ref="I63" r:id="rId4"/>
    <hyperlink ref="I75" r:id="rId5"/>
    <hyperlink ref="N54" r:id="rId6" location="Whatreturnoninvestmentdocashtransferrecipientsearn"/>
    <hyperlink ref="N14" r:id="rId7" location="Whatdoyougetforyourdollar"/>
    <hyperlink ref="N16" r:id="rId8" location="baseline"/>
    <hyperlink ref="N57" r:id="rId9" location="CashRatios"/>
    <hyperlink ref="N5" r:id="rId10" location="Externalvalidity"/>
    <hyperlink ref="N42" r:id="rId11"/>
    <hyperlink ref="N21" r:id="rId12" location="Whatisthecostpertreatment"/>
    <hyperlink ref="N23" r:id="rId13" location="comparison"/>
    <hyperlink ref="J8" r:id="rId14"/>
    <hyperlink ref="K8" r:id="rId15"/>
    <hyperlink ref="N25" r:id="rId16" location="leverage"/>
    <hyperlink ref="N37" r:id="rId17" location="Improvingmentalfunction"/>
    <hyperlink ref="N38" r:id="rId18" location="Improvingmentalfunction"/>
    <hyperlink ref="I78" r:id="rId19"/>
    <hyperlink ref="N58" r:id="rId20" location="GrantStructure"/>
    <hyperlink ref="I46" r:id="rId21"/>
    <hyperlink ref="I59" r:id="rId22"/>
  </hyperlinks>
  <pageMargins left="0.7" right="0.7" top="0.75" bottom="0.75" header="0.3" footer="0.3"/>
  <legacyDrawing r:id="rId2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C44"/>
  <sheetViews>
    <sheetView workbookViewId="0">
      <pane xSplit="1" ySplit="2" topLeftCell="B3" activePane="bottomRight" state="frozen"/>
      <selection pane="topRight" activeCell="B1" sqref="B1"/>
      <selection pane="bottomLeft" activeCell="A3" sqref="A3"/>
      <selection pane="bottomRight" activeCell="B3" sqref="B3"/>
    </sheetView>
  </sheetViews>
  <sheetFormatPr baseColWidth="10" defaultColWidth="8.83203125" defaultRowHeight="15" x14ac:dyDescent="0.2"/>
  <cols>
    <col min="1" max="1" width="65.5" customWidth="1"/>
    <col min="2" max="2" width="30.5" customWidth="1"/>
    <col min="3" max="3" width="24.1640625" customWidth="1"/>
  </cols>
  <sheetData>
    <row r="2" spans="1:3" x14ac:dyDescent="0.2">
      <c r="A2" s="171" t="s">
        <v>433</v>
      </c>
      <c r="B2" s="171" t="s">
        <v>38</v>
      </c>
      <c r="C2" s="171" t="s">
        <v>575</v>
      </c>
    </row>
    <row r="3" spans="1:3" s="232" customFormat="1" x14ac:dyDescent="0.2">
      <c r="A3" s="232" t="s">
        <v>39</v>
      </c>
      <c r="B3" s="275" t="s">
        <v>43</v>
      </c>
      <c r="C3" s="171"/>
    </row>
    <row r="4" spans="1:3" s="232" customFormat="1" x14ac:dyDescent="0.2">
      <c r="A4" s="232" t="s">
        <v>40</v>
      </c>
      <c r="B4" s="275" t="s">
        <v>499</v>
      </c>
      <c r="C4" s="171"/>
    </row>
    <row r="5" spans="1:3" s="232" customFormat="1" x14ac:dyDescent="0.2">
      <c r="A5" s="232" t="s">
        <v>41</v>
      </c>
      <c r="B5" s="275" t="s">
        <v>44</v>
      </c>
      <c r="C5" s="171"/>
    </row>
    <row r="6" spans="1:3" s="232" customFormat="1" x14ac:dyDescent="0.2">
      <c r="A6" s="232" t="s">
        <v>42</v>
      </c>
      <c r="B6" s="275" t="s">
        <v>45</v>
      </c>
      <c r="C6" s="171"/>
    </row>
    <row r="7" spans="1:3" s="232" customFormat="1" x14ac:dyDescent="0.2">
      <c r="C7" s="171"/>
    </row>
    <row r="8" spans="1:3" ht="14.5" customHeight="1" x14ac:dyDescent="0.2">
      <c r="A8" t="s">
        <v>455</v>
      </c>
      <c r="B8" s="169" t="s">
        <v>454</v>
      </c>
    </row>
    <row r="9" spans="1:3" ht="14.5" customHeight="1" x14ac:dyDescent="0.2">
      <c r="A9" t="s">
        <v>443</v>
      </c>
      <c r="B9" s="169" t="s">
        <v>445</v>
      </c>
    </row>
    <row r="10" spans="1:3" ht="14.5" customHeight="1" x14ac:dyDescent="0.2">
      <c r="B10" s="169"/>
    </row>
    <row r="11" spans="1:3" x14ac:dyDescent="0.2">
      <c r="A11" t="s">
        <v>116</v>
      </c>
      <c r="B11" t="s">
        <v>382</v>
      </c>
    </row>
    <row r="12" spans="1:3" s="232" customFormat="1" ht="14.5" customHeight="1" x14ac:dyDescent="0.2">
      <c r="A12" s="232" t="s">
        <v>32</v>
      </c>
      <c r="B12" s="169" t="s">
        <v>33</v>
      </c>
      <c r="C12" s="516" t="s">
        <v>34</v>
      </c>
    </row>
    <row r="13" spans="1:3" s="232" customFormat="1" x14ac:dyDescent="0.2">
      <c r="A13" s="232" t="s">
        <v>117</v>
      </c>
      <c r="B13" s="232" t="s">
        <v>382</v>
      </c>
      <c r="C13" s="275" t="s">
        <v>31</v>
      </c>
    </row>
    <row r="14" spans="1:3" ht="14.5" customHeight="1" x14ac:dyDescent="0.2">
      <c r="A14" t="s">
        <v>416</v>
      </c>
      <c r="B14" s="169" t="s">
        <v>385</v>
      </c>
      <c r="C14" s="170" t="s">
        <v>384</v>
      </c>
    </row>
    <row r="15" spans="1:3" s="232" customFormat="1" ht="14.5" customHeight="1" x14ac:dyDescent="0.2">
      <c r="A15" s="232" t="s">
        <v>56</v>
      </c>
      <c r="B15" s="169" t="s">
        <v>57</v>
      </c>
      <c r="C15" s="170"/>
    </row>
    <row r="16" spans="1:3" s="232" customFormat="1" ht="14.5" customHeight="1" x14ac:dyDescent="0.2">
      <c r="A16" s="232" t="s">
        <v>59</v>
      </c>
      <c r="B16" s="275" t="s">
        <v>30</v>
      </c>
      <c r="C16" s="170"/>
    </row>
    <row r="17" spans="1:3" ht="14.5" customHeight="1" x14ac:dyDescent="0.2">
      <c r="A17" t="s">
        <v>54</v>
      </c>
      <c r="B17" s="169" t="s">
        <v>51</v>
      </c>
      <c r="C17" s="170"/>
    </row>
    <row r="18" spans="1:3" s="232" customFormat="1" ht="14.5" customHeight="1" x14ac:dyDescent="0.2">
      <c r="A18" s="232" t="s">
        <v>24</v>
      </c>
      <c r="B18" s="169" t="s">
        <v>25</v>
      </c>
      <c r="C18" s="170"/>
    </row>
    <row r="19" spans="1:3" s="232" customFormat="1" ht="14.5" customHeight="1" x14ac:dyDescent="0.2">
      <c r="A19" s="232" t="s">
        <v>52</v>
      </c>
      <c r="B19" s="169" t="s">
        <v>55</v>
      </c>
      <c r="C19" s="170"/>
    </row>
    <row r="20" spans="1:3" s="232" customFormat="1" ht="14.5" customHeight="1" x14ac:dyDescent="0.2">
      <c r="B20" s="169"/>
      <c r="C20" s="170"/>
    </row>
    <row r="21" spans="1:3" ht="14.5" customHeight="1" x14ac:dyDescent="0.2">
      <c r="A21" t="s">
        <v>250</v>
      </c>
      <c r="B21" s="275" t="s">
        <v>75</v>
      </c>
      <c r="C21" s="170"/>
    </row>
    <row r="22" spans="1:3" ht="14.5" customHeight="1" x14ac:dyDescent="0.2">
      <c r="A22" t="s">
        <v>444</v>
      </c>
      <c r="B22" s="169" t="s">
        <v>526</v>
      </c>
    </row>
    <row r="23" spans="1:3" ht="14.5" customHeight="1" x14ac:dyDescent="0.2">
      <c r="A23" s="54" t="s">
        <v>362</v>
      </c>
      <c r="B23" s="169" t="s">
        <v>363</v>
      </c>
    </row>
    <row r="24" spans="1:3" ht="14.5" customHeight="1" x14ac:dyDescent="0.2">
      <c r="A24" t="s">
        <v>527</v>
      </c>
      <c r="B24" s="169" t="s">
        <v>490</v>
      </c>
    </row>
    <row r="25" spans="1:3" ht="14.5" customHeight="1" x14ac:dyDescent="0.2">
      <c r="A25" t="s">
        <v>383</v>
      </c>
      <c r="B25" s="170" t="s">
        <v>382</v>
      </c>
    </row>
    <row r="26" spans="1:3" ht="14.5" customHeight="1" x14ac:dyDescent="0.2">
      <c r="A26" t="s">
        <v>11</v>
      </c>
      <c r="B26" s="170" t="s">
        <v>382</v>
      </c>
    </row>
    <row r="27" spans="1:3" ht="14.5" customHeight="1" x14ac:dyDescent="0.2">
      <c r="A27" t="s">
        <v>325</v>
      </c>
      <c r="B27" s="170" t="s">
        <v>382</v>
      </c>
    </row>
    <row r="28" spans="1:3" ht="14.5" customHeight="1" x14ac:dyDescent="0.2">
      <c r="A28" s="54" t="s">
        <v>456</v>
      </c>
      <c r="B28" s="65" t="s">
        <v>382</v>
      </c>
    </row>
    <row r="29" spans="1:3" ht="14.5" customHeight="1" x14ac:dyDescent="0.2">
      <c r="A29" t="s">
        <v>472</v>
      </c>
      <c r="B29" s="169" t="s">
        <v>103</v>
      </c>
    </row>
    <row r="30" spans="1:3" x14ac:dyDescent="0.2">
      <c r="A30" s="54" t="s">
        <v>327</v>
      </c>
      <c r="B30" s="51" t="s">
        <v>326</v>
      </c>
    </row>
    <row r="31" spans="1:3" ht="14.5" customHeight="1" x14ac:dyDescent="0.2">
      <c r="A31" s="54" t="s">
        <v>336</v>
      </c>
      <c r="B31" s="169" t="s">
        <v>337</v>
      </c>
    </row>
    <row r="32" spans="1:3" x14ac:dyDescent="0.2">
      <c r="A32" t="s">
        <v>313</v>
      </c>
      <c r="B32" t="s">
        <v>382</v>
      </c>
    </row>
    <row r="33" spans="1:2" x14ac:dyDescent="0.2">
      <c r="A33" s="54" t="s">
        <v>328</v>
      </c>
      <c r="B33" t="s">
        <v>382</v>
      </c>
    </row>
    <row r="34" spans="1:2" x14ac:dyDescent="0.2">
      <c r="A34" s="54" t="s">
        <v>224</v>
      </c>
      <c r="B34" t="s">
        <v>382</v>
      </c>
    </row>
    <row r="35" spans="1:2" s="232" customFormat="1" x14ac:dyDescent="0.2"/>
    <row r="36" spans="1:2" x14ac:dyDescent="0.2">
      <c r="A36" t="s">
        <v>517</v>
      </c>
      <c r="B36" s="176" t="s">
        <v>382</v>
      </c>
    </row>
    <row r="37" spans="1:2" x14ac:dyDescent="0.2">
      <c r="A37" t="s">
        <v>518</v>
      </c>
      <c r="B37" s="51" t="s">
        <v>305</v>
      </c>
    </row>
    <row r="38" spans="1:2" x14ac:dyDescent="0.2">
      <c r="A38" t="s">
        <v>519</v>
      </c>
      <c r="B38" s="51" t="s">
        <v>303</v>
      </c>
    </row>
    <row r="39" spans="1:2" x14ac:dyDescent="0.2">
      <c r="A39" t="s">
        <v>521</v>
      </c>
      <c r="B39" s="51" t="s">
        <v>304</v>
      </c>
    </row>
    <row r="40" spans="1:2" x14ac:dyDescent="0.2">
      <c r="A40" t="s">
        <v>522</v>
      </c>
      <c r="B40" s="51" t="s">
        <v>251</v>
      </c>
    </row>
    <row r="41" spans="1:2" x14ac:dyDescent="0.2">
      <c r="A41" t="s">
        <v>523</v>
      </c>
      <c r="B41" s="275" t="s">
        <v>37</v>
      </c>
    </row>
    <row r="42" spans="1:2" x14ac:dyDescent="0.2">
      <c r="A42" t="s">
        <v>283</v>
      </c>
      <c r="B42" s="51" t="s">
        <v>284</v>
      </c>
    </row>
    <row r="44" spans="1:2" x14ac:dyDescent="0.2">
      <c r="A44" t="s">
        <v>6</v>
      </c>
      <c r="B44" s="275" t="s">
        <v>7</v>
      </c>
    </row>
  </sheetData>
  <phoneticPr fontId="49" type="noConversion"/>
  <hyperlinks>
    <hyperlink ref="B22" r:id="rId1"/>
    <hyperlink ref="B24" r:id="rId2"/>
    <hyperlink ref="B8" r:id="rId3"/>
    <hyperlink ref="B9" r:id="rId4"/>
    <hyperlink ref="B14" r:id="rId5"/>
    <hyperlink ref="B23" r:id="rId6"/>
    <hyperlink ref="B31" r:id="rId7"/>
    <hyperlink ref="B30" r:id="rId8" location="gid=0"/>
    <hyperlink ref="B38" r:id="rId9"/>
    <hyperlink ref="B39" r:id="rId10"/>
    <hyperlink ref="B37" r:id="rId11"/>
    <hyperlink ref="B41" r:id="rId12"/>
    <hyperlink ref="B40" r:id="rId13"/>
    <hyperlink ref="B42" r:id="rId14"/>
    <hyperlink ref="B21" r:id="rId15"/>
    <hyperlink ref="B29" r:id="rId16"/>
    <hyperlink ref="B3" r:id="rId17"/>
    <hyperlink ref="B4" r:id="rId18"/>
    <hyperlink ref="B5" r:id="rId19"/>
    <hyperlink ref="B6" r:id="rId20"/>
    <hyperlink ref="B19" r:id="rId21"/>
    <hyperlink ref="B15" r:id="rId22"/>
    <hyperlink ref="B18" r:id="rId23"/>
    <hyperlink ref="B16" r:id="rId24"/>
    <hyperlink ref="C13" r:id="rId25"/>
    <hyperlink ref="B12" r:id="rId26"/>
    <hyperlink ref="B17" r:id="rId27"/>
    <hyperlink ref="B44" r:id="rId28"/>
  </hyperlinks>
  <pageMargins left="0.7" right="0.7" top="0.75" bottom="0.75" header="0.3" footer="0.3"/>
  <legacyDrawing r:id="rId29"/>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5"/>
  <sheetViews>
    <sheetView workbookViewId="0">
      <pane xSplit="1" ySplit="2" topLeftCell="B3" activePane="bottomRight" state="frozen"/>
      <selection pane="topRight" activeCell="B1" sqref="B1"/>
      <selection pane="bottomLeft" activeCell="A3" sqref="A3"/>
      <selection pane="bottomRight" activeCell="B3" sqref="B3"/>
    </sheetView>
  </sheetViews>
  <sheetFormatPr baseColWidth="10" defaultColWidth="8.83203125" defaultRowHeight="13" x14ac:dyDescent="0.15"/>
  <cols>
    <col min="1" max="1" width="45.1640625" style="229" customWidth="1"/>
    <col min="2" max="2" width="32.5" style="230" customWidth="1"/>
    <col min="3" max="3" width="16.5" style="230" bestFit="1" customWidth="1"/>
    <col min="4" max="4" width="24.83203125" style="229" customWidth="1"/>
    <col min="5" max="5" width="16.5" style="230" bestFit="1" customWidth="1"/>
    <col min="6" max="6" width="24.83203125" style="230" customWidth="1"/>
    <col min="7" max="7" width="16.5" style="230" customWidth="1"/>
    <col min="8" max="8" width="1.5" style="230" customWidth="1"/>
    <col min="9" max="16384" width="8.83203125" style="229"/>
  </cols>
  <sheetData>
    <row r="1" spans="1:8" x14ac:dyDescent="0.15">
      <c r="C1" s="231" t="s">
        <v>191</v>
      </c>
      <c r="E1" s="231" t="s">
        <v>192</v>
      </c>
      <c r="F1" s="231"/>
      <c r="G1" s="231" t="s">
        <v>13</v>
      </c>
    </row>
    <row r="2" spans="1:8" x14ac:dyDescent="0.15">
      <c r="B2" s="230" t="s">
        <v>193</v>
      </c>
      <c r="C2" s="229"/>
      <c r="D2" s="230" t="s">
        <v>58</v>
      </c>
      <c r="E2" s="229"/>
      <c r="F2" s="230" t="s">
        <v>58</v>
      </c>
      <c r="G2" s="396"/>
    </row>
    <row r="3" spans="1:8" x14ac:dyDescent="0.15">
      <c r="A3" s="229" t="s">
        <v>194</v>
      </c>
      <c r="B3" s="517" t="s">
        <v>28</v>
      </c>
      <c r="C3" s="395">
        <v>5.15</v>
      </c>
      <c r="D3" s="228"/>
      <c r="E3" s="395">
        <v>6.3</v>
      </c>
      <c r="F3" s="396" t="s">
        <v>23</v>
      </c>
      <c r="G3" s="395">
        <v>5.3</v>
      </c>
    </row>
    <row r="4" spans="1:8" x14ac:dyDescent="0.15">
      <c r="A4" s="229" t="s">
        <v>195</v>
      </c>
      <c r="B4" s="230" t="s">
        <v>196</v>
      </c>
      <c r="C4" s="396">
        <v>0.05</v>
      </c>
      <c r="E4" s="396">
        <v>0.05</v>
      </c>
      <c r="F4" s="396"/>
      <c r="G4" s="396">
        <v>0.05</v>
      </c>
    </row>
    <row r="5" spans="1:8" x14ac:dyDescent="0.15">
      <c r="A5" s="229" t="s">
        <v>197</v>
      </c>
      <c r="B5" s="230" t="s">
        <v>198</v>
      </c>
      <c r="C5" s="230">
        <v>1.8</v>
      </c>
      <c r="E5" s="230">
        <v>1.8</v>
      </c>
      <c r="G5" s="230">
        <v>1.8</v>
      </c>
    </row>
    <row r="6" spans="1:8" x14ac:dyDescent="0.15">
      <c r="A6" s="229" t="s">
        <v>199</v>
      </c>
      <c r="B6" s="230" t="s">
        <v>12</v>
      </c>
      <c r="C6" s="397">
        <v>2.2200000000000002</v>
      </c>
      <c r="D6" s="230"/>
      <c r="E6" s="397">
        <v>2.2200000000000002</v>
      </c>
      <c r="F6" s="397"/>
      <c r="G6" s="397">
        <v>2.2200000000000002</v>
      </c>
    </row>
    <row r="7" spans="1:8" s="398" customFormat="1" x14ac:dyDescent="0.15">
      <c r="A7" s="229" t="s">
        <v>200</v>
      </c>
      <c r="B7" s="230" t="s">
        <v>60</v>
      </c>
      <c r="C7" s="396">
        <v>0.2</v>
      </c>
      <c r="D7" s="229"/>
      <c r="E7" s="396">
        <v>0.2</v>
      </c>
      <c r="F7" s="396"/>
      <c r="G7" s="396">
        <v>0.2</v>
      </c>
      <c r="H7" s="396"/>
    </row>
    <row r="8" spans="1:8" x14ac:dyDescent="0.15">
      <c r="A8" s="229" t="s">
        <v>201</v>
      </c>
      <c r="B8" s="399" t="s">
        <v>53</v>
      </c>
      <c r="C8" s="396">
        <v>0.16600000000000001</v>
      </c>
      <c r="D8" s="399" t="s">
        <v>202</v>
      </c>
      <c r="E8" s="396">
        <v>0.19900000000000001</v>
      </c>
      <c r="F8" s="396" t="s">
        <v>23</v>
      </c>
      <c r="G8" s="396">
        <v>0.17899999999999999</v>
      </c>
    </row>
    <row r="9" spans="1:8" x14ac:dyDescent="0.15">
      <c r="A9" s="229" t="s">
        <v>203</v>
      </c>
      <c r="B9" s="399" t="s">
        <v>53</v>
      </c>
      <c r="C9" s="396">
        <f>16.2%+15.9%</f>
        <v>0.32100000000000001</v>
      </c>
      <c r="D9" s="399" t="s">
        <v>202</v>
      </c>
      <c r="E9" s="396">
        <f>17.1%+14.5%</f>
        <v>0.316</v>
      </c>
      <c r="F9" s="396" t="s">
        <v>23</v>
      </c>
      <c r="G9" s="396">
        <v>0.3019</v>
      </c>
    </row>
    <row r="10" spans="1:8" x14ac:dyDescent="0.15">
      <c r="A10" s="229" t="s">
        <v>204</v>
      </c>
      <c r="B10" s="230" t="s">
        <v>205</v>
      </c>
      <c r="C10" s="400">
        <f>5.53/1000</f>
        <v>5.5300000000000002E-3</v>
      </c>
      <c r="E10" s="400">
        <f>5.53/1000</f>
        <v>5.5300000000000002E-3</v>
      </c>
      <c r="F10" s="400"/>
      <c r="G10" s="400">
        <f>5.53/1000</f>
        <v>5.5300000000000002E-3</v>
      </c>
    </row>
    <row r="11" spans="1:8" x14ac:dyDescent="0.15">
      <c r="C11" s="400"/>
      <c r="E11" s="400"/>
      <c r="F11" s="400"/>
      <c r="G11" s="400"/>
    </row>
    <row r="12" spans="1:8" x14ac:dyDescent="0.15">
      <c r="A12" s="230" t="s">
        <v>141</v>
      </c>
      <c r="B12" s="230" t="s">
        <v>71</v>
      </c>
      <c r="C12" s="400">
        <v>142.25</v>
      </c>
      <c r="D12" s="230"/>
      <c r="E12" s="400">
        <v>142.25</v>
      </c>
      <c r="F12" s="400"/>
      <c r="G12" s="400">
        <v>142.25</v>
      </c>
    </row>
    <row r="13" spans="1:8" x14ac:dyDescent="0.15">
      <c r="A13" s="230" t="s">
        <v>206</v>
      </c>
      <c r="B13" s="230" t="s">
        <v>142</v>
      </c>
      <c r="C13" s="400">
        <v>64</v>
      </c>
      <c r="D13" s="230"/>
      <c r="E13" s="400">
        <v>98</v>
      </c>
      <c r="F13" s="400" t="s">
        <v>26</v>
      </c>
      <c r="G13" s="400">
        <v>77</v>
      </c>
    </row>
    <row r="14" spans="1:8" x14ac:dyDescent="0.15">
      <c r="A14" s="230" t="s">
        <v>72</v>
      </c>
      <c r="B14" s="230" t="s">
        <v>427</v>
      </c>
      <c r="C14" s="510">
        <f>C13/C12</f>
        <v>0.44991212653778556</v>
      </c>
      <c r="D14" s="230"/>
      <c r="E14" s="510">
        <f>E13/E12</f>
        <v>0.68892794376098421</v>
      </c>
      <c r="F14" s="400"/>
      <c r="G14" s="510">
        <f>G13/G12</f>
        <v>0.54130052724077327</v>
      </c>
    </row>
    <row r="15" spans="1:8" x14ac:dyDescent="0.15">
      <c r="A15" s="230" t="s">
        <v>143</v>
      </c>
      <c r="B15" s="230" t="s">
        <v>142</v>
      </c>
      <c r="C15" s="400">
        <v>125</v>
      </c>
      <c r="D15" s="230"/>
      <c r="E15" s="400">
        <v>143</v>
      </c>
      <c r="F15" s="400" t="s">
        <v>26</v>
      </c>
      <c r="G15" s="400">
        <v>127</v>
      </c>
    </row>
    <row r="16" spans="1:8" x14ac:dyDescent="0.15">
      <c r="A16" s="230" t="s">
        <v>73</v>
      </c>
      <c r="B16" s="230" t="s">
        <v>427</v>
      </c>
      <c r="C16" s="510">
        <f>C15/C12</f>
        <v>0.87873462214411246</v>
      </c>
      <c r="D16" s="230"/>
      <c r="E16" s="510">
        <f>E15/E12</f>
        <v>1.0052724077328647</v>
      </c>
      <c r="F16" s="400"/>
      <c r="G16" s="510">
        <f>G15/G12</f>
        <v>0.89279437609841827</v>
      </c>
    </row>
    <row r="17" spans="1:7" x14ac:dyDescent="0.15">
      <c r="A17" s="230" t="s">
        <v>144</v>
      </c>
      <c r="B17" s="230" t="s">
        <v>29</v>
      </c>
      <c r="C17" s="511">
        <v>0.25</v>
      </c>
      <c r="D17" s="230"/>
      <c r="E17" s="511">
        <v>0.25</v>
      </c>
      <c r="F17" s="400"/>
      <c r="G17" s="511">
        <v>0.25</v>
      </c>
    </row>
    <row r="18" spans="1:7" x14ac:dyDescent="0.15">
      <c r="A18" s="230" t="s">
        <v>74</v>
      </c>
      <c r="B18" s="230" t="s">
        <v>427</v>
      </c>
      <c r="C18" s="510">
        <f>C14+(C16-C14)*C17</f>
        <v>0.55711775043936729</v>
      </c>
      <c r="D18" s="230"/>
      <c r="E18" s="510">
        <f>E14+(E16-E14)*E17</f>
        <v>0.76801405975395431</v>
      </c>
      <c r="F18" s="400"/>
      <c r="G18" s="510">
        <f>G14+(G16-G14)*G17</f>
        <v>0.62917398945518455</v>
      </c>
    </row>
    <row r="19" spans="1:7" x14ac:dyDescent="0.15">
      <c r="A19" s="229" t="s">
        <v>145</v>
      </c>
      <c r="B19" s="230" t="s">
        <v>427</v>
      </c>
      <c r="C19" s="512">
        <f>C10*C18*(1-C7)</f>
        <v>2.4646889279437614E-3</v>
      </c>
      <c r="D19" s="230"/>
      <c r="E19" s="512">
        <f>E10*E18*(1-E7)</f>
        <v>3.3976942003514942E-3</v>
      </c>
      <c r="F19" s="400"/>
      <c r="G19" s="512">
        <f>G10*G18*(1-G7)</f>
        <v>2.7834657293497366E-3</v>
      </c>
    </row>
    <row r="21" spans="1:7" x14ac:dyDescent="0.15">
      <c r="A21" s="229" t="s">
        <v>146</v>
      </c>
      <c r="B21" s="230" t="s">
        <v>114</v>
      </c>
      <c r="C21" s="396">
        <f>29%/0.7</f>
        <v>0.41428571428571426</v>
      </c>
      <c r="D21" s="396" t="s">
        <v>115</v>
      </c>
      <c r="E21" s="396">
        <f>50.2%/0.7</f>
        <v>0.71714285714285719</v>
      </c>
      <c r="F21" s="396" t="s">
        <v>112</v>
      </c>
      <c r="G21" s="396">
        <f>AVERAGE(E21,C21)</f>
        <v>0.56571428571428573</v>
      </c>
    </row>
    <row r="22" spans="1:7" x14ac:dyDescent="0.15">
      <c r="A22" s="229" t="s">
        <v>46</v>
      </c>
      <c r="B22" s="230" t="s">
        <v>114</v>
      </c>
      <c r="C22" s="396">
        <f>37.9%/0.7</f>
        <v>0.54142857142857148</v>
      </c>
      <c r="D22" s="396" t="s">
        <v>115</v>
      </c>
      <c r="E22" s="396">
        <f>55.8%/0.7</f>
        <v>0.79714285714285715</v>
      </c>
      <c r="F22" s="396" t="s">
        <v>112</v>
      </c>
      <c r="G22" s="396">
        <f>AVERAGE(E22,C22)</f>
        <v>0.66928571428571426</v>
      </c>
    </row>
    <row r="23" spans="1:7" x14ac:dyDescent="0.15">
      <c r="A23" s="229" t="s">
        <v>47</v>
      </c>
      <c r="B23" s="230" t="s">
        <v>114</v>
      </c>
      <c r="C23" s="396">
        <f>20.1%/0.7</f>
        <v>0.2871428571428572</v>
      </c>
      <c r="D23" s="396" t="s">
        <v>115</v>
      </c>
      <c r="E23" s="396">
        <f>41.6%/0.7</f>
        <v>0.59428571428571442</v>
      </c>
      <c r="F23" s="396" t="s">
        <v>112</v>
      </c>
      <c r="G23" s="396">
        <f>AVERAGE(E23,C23)</f>
        <v>0.44071428571428584</v>
      </c>
    </row>
    <row r="24" spans="1:7" x14ac:dyDescent="0.15">
      <c r="A24" s="229" t="s">
        <v>48</v>
      </c>
      <c r="B24" s="399" t="s">
        <v>21</v>
      </c>
      <c r="C24" s="396">
        <v>0.22650000000000001</v>
      </c>
      <c r="D24" s="399" t="s">
        <v>22</v>
      </c>
      <c r="E24" s="396">
        <v>1.77E-2</v>
      </c>
      <c r="F24" s="396" t="s">
        <v>112</v>
      </c>
      <c r="G24" s="396">
        <f>AVERAGE(C24,E24)</f>
        <v>0.1221</v>
      </c>
    </row>
    <row r="25" spans="1:7" x14ac:dyDescent="0.15">
      <c r="A25" s="229" t="s">
        <v>49</v>
      </c>
      <c r="B25" s="399" t="s">
        <v>427</v>
      </c>
      <c r="C25" s="407">
        <f>C$24*C22/C$21</f>
        <v>0.29601206896551729</v>
      </c>
      <c r="D25" s="399"/>
      <c r="E25" s="407">
        <f>E$24*E22/E$21</f>
        <v>1.967450199203187E-2</v>
      </c>
      <c r="F25" s="396"/>
      <c r="G25" s="407">
        <f>G$24*G22/G$21</f>
        <v>0.14445416666666666</v>
      </c>
    </row>
    <row r="26" spans="1:7" x14ac:dyDescent="0.15">
      <c r="A26" s="229" t="s">
        <v>50</v>
      </c>
      <c r="B26" s="399" t="s">
        <v>427</v>
      </c>
      <c r="C26" s="407">
        <f>C$24*C23/C$21</f>
        <v>0.1569879310344828</v>
      </c>
      <c r="D26" s="399"/>
      <c r="E26" s="407">
        <f>E$24*E23/E$21</f>
        <v>1.4667729083665341E-2</v>
      </c>
      <c r="F26" s="396"/>
      <c r="G26" s="407">
        <f>G$24*G23/G$21</f>
        <v>9.5120833333333363E-2</v>
      </c>
    </row>
    <row r="27" spans="1:7" x14ac:dyDescent="0.15">
      <c r="A27" s="229" t="s">
        <v>147</v>
      </c>
      <c r="B27" s="230" t="s">
        <v>9</v>
      </c>
      <c r="C27" s="396">
        <v>0.5</v>
      </c>
      <c r="D27" s="230"/>
      <c r="E27" s="396">
        <v>0.5</v>
      </c>
      <c r="G27" s="396">
        <v>0.5</v>
      </c>
    </row>
    <row r="28" spans="1:7" x14ac:dyDescent="0.15">
      <c r="A28" s="229" t="s">
        <v>148</v>
      </c>
      <c r="B28" s="230" t="s">
        <v>149</v>
      </c>
      <c r="C28" s="407">
        <f>C27*C24+(1-C27)*C25</f>
        <v>0.26125603448275864</v>
      </c>
      <c r="D28" s="230"/>
      <c r="E28" s="407">
        <f>E27*E24+(1-E27)*E25</f>
        <v>1.8687250996015935E-2</v>
      </c>
      <c r="G28" s="407">
        <f>G27*G24+(1-G27)*G25</f>
        <v>0.13327708333333332</v>
      </c>
    </row>
    <row r="29" spans="1:7" x14ac:dyDescent="0.15">
      <c r="A29" s="229" t="s">
        <v>150</v>
      </c>
      <c r="B29" s="230" t="s">
        <v>149</v>
      </c>
      <c r="C29" s="407">
        <f>C27*C24+(1-C27)*C26</f>
        <v>0.1917439655172414</v>
      </c>
      <c r="D29" s="230"/>
      <c r="E29" s="407">
        <f>E27*E24+(1-E27)*E26</f>
        <v>1.6183864541832672E-2</v>
      </c>
      <c r="G29" s="407">
        <f>G27*G24+(1-G27)*G26</f>
        <v>0.10861041666666668</v>
      </c>
    </row>
    <row r="30" spans="1:7" x14ac:dyDescent="0.15">
      <c r="A30" s="229" t="s">
        <v>151</v>
      </c>
      <c r="B30" s="230" t="s">
        <v>27</v>
      </c>
      <c r="C30" s="407">
        <f>((100%-C28)*C8)/((1-C24))</f>
        <v>0.15854104495909774</v>
      </c>
      <c r="D30" s="230"/>
      <c r="E30" s="407">
        <f>((100%-E28)*E8)/((1-E24))</f>
        <v>0.19879999699866926</v>
      </c>
      <c r="G30" s="407">
        <f>((100%-G28)*G8)/((1-G24))</f>
        <v>0.17672104121578008</v>
      </c>
    </row>
    <row r="31" spans="1:7" x14ac:dyDescent="0.15">
      <c r="A31" s="229" t="s">
        <v>152</v>
      </c>
      <c r="B31" s="230" t="s">
        <v>153</v>
      </c>
      <c r="C31" s="407">
        <f>((100%-C29)*C9)/(1-C24)</f>
        <v>0.33542364197668456</v>
      </c>
      <c r="D31" s="230"/>
      <c r="E31" s="407">
        <f>((100%-E29)*E9)/(1-E24)</f>
        <v>0.31648773165507577</v>
      </c>
      <c r="G31" s="407">
        <f>((100%-G29)*G9)/(1-G24)</f>
        <v>0.30653891697042185</v>
      </c>
    </row>
    <row r="33" spans="1:8" x14ac:dyDescent="0.15">
      <c r="A33" s="229" t="s">
        <v>154</v>
      </c>
      <c r="B33" s="230" t="s">
        <v>155</v>
      </c>
      <c r="C33" s="520">
        <f>10^6</f>
        <v>1000000</v>
      </c>
      <c r="D33" s="399"/>
      <c r="E33" s="520">
        <f>10^6</f>
        <v>1000000</v>
      </c>
      <c r="F33" s="399"/>
      <c r="G33" s="520">
        <f>10^6</f>
        <v>1000000</v>
      </c>
    </row>
    <row r="34" spans="1:8" x14ac:dyDescent="0.15">
      <c r="A34" s="229" t="s">
        <v>156</v>
      </c>
      <c r="B34" s="230" t="s">
        <v>427</v>
      </c>
      <c r="C34" s="513">
        <f>(C33/C3)*(1-C4)</f>
        <v>184466.01941747571</v>
      </c>
      <c r="D34" s="230"/>
      <c r="E34" s="513">
        <f>(E33/E3)*(1-E4)</f>
        <v>150793.6507936508</v>
      </c>
      <c r="G34" s="513">
        <f>(G33/G3)*(1-G4)</f>
        <v>179245.28301886792</v>
      </c>
    </row>
    <row r="35" spans="1:8" x14ac:dyDescent="0.15">
      <c r="A35" s="229" t="s">
        <v>157</v>
      </c>
      <c r="B35" s="230" t="s">
        <v>427</v>
      </c>
      <c r="C35" s="513">
        <f>C34*C5*C6</f>
        <v>737126.21359223302</v>
      </c>
      <c r="D35" s="230"/>
      <c r="E35" s="513">
        <f>E34*E5*E6</f>
        <v>602571.42857142864</v>
      </c>
      <c r="G35" s="513">
        <f>G34*G5*G6</f>
        <v>716264.15094339638</v>
      </c>
    </row>
    <row r="36" spans="1:8" x14ac:dyDescent="0.15">
      <c r="A36" s="229" t="s">
        <v>158</v>
      </c>
      <c r="B36" s="230" t="s">
        <v>427</v>
      </c>
      <c r="C36" s="513">
        <f>C35*C30</f>
        <v>116864.7601696557</v>
      </c>
      <c r="D36" s="395"/>
      <c r="E36" s="513">
        <f>E35*E30</f>
        <v>119791.19819148387</v>
      </c>
      <c r="F36" s="395"/>
      <c r="G36" s="513">
        <f>G35*G30</f>
        <v>126578.94654025367</v>
      </c>
      <c r="H36" s="395"/>
    </row>
    <row r="37" spans="1:8" x14ac:dyDescent="0.15">
      <c r="A37" s="229" t="s">
        <v>159</v>
      </c>
      <c r="B37" s="230" t="s">
        <v>427</v>
      </c>
      <c r="C37" s="513">
        <f>C35*C31</f>
        <v>247249.55915959028</v>
      </c>
      <c r="D37" s="395"/>
      <c r="E37" s="513">
        <f>E35*E31</f>
        <v>190706.46458872996</v>
      </c>
      <c r="F37" s="395"/>
      <c r="G37" s="513">
        <f>G35*G31</f>
        <v>219562.8370949275</v>
      </c>
      <c r="H37" s="395"/>
    </row>
    <row r="38" spans="1:8" x14ac:dyDescent="0.15">
      <c r="A38" s="229" t="s">
        <v>160</v>
      </c>
      <c r="B38" s="230" t="s">
        <v>427</v>
      </c>
      <c r="C38" s="513">
        <f>C36*C19</f>
        <v>288.0352804569535</v>
      </c>
      <c r="D38" s="230"/>
      <c r="E38" s="513">
        <f>E36*E19</f>
        <v>407.01385934836117</v>
      </c>
      <c r="G38" s="513">
        <f>G36*G19</f>
        <v>352.32815975198849</v>
      </c>
    </row>
    <row r="39" spans="1:8" x14ac:dyDescent="0.15">
      <c r="D39" s="230"/>
    </row>
    <row r="40" spans="1:8" x14ac:dyDescent="0.15">
      <c r="A40" s="229" t="s">
        <v>161</v>
      </c>
      <c r="B40" s="230" t="s">
        <v>427</v>
      </c>
      <c r="C40" s="408">
        <f>C33/C35</f>
        <v>1.3566197776724092</v>
      </c>
      <c r="D40" s="230"/>
      <c r="E40" s="408">
        <f>E33/E35</f>
        <v>1.6595542911332384</v>
      </c>
      <c r="G40" s="408">
        <f>G33/G35</f>
        <v>1.3961329750803433</v>
      </c>
    </row>
    <row r="41" spans="1:8" x14ac:dyDescent="0.15">
      <c r="A41" s="229" t="s">
        <v>162</v>
      </c>
      <c r="B41" s="230" t="s">
        <v>427</v>
      </c>
      <c r="C41" s="408">
        <f>C33/C36</f>
        <v>8.5568994327141326</v>
      </c>
      <c r="D41" s="230"/>
      <c r="E41" s="408">
        <f>E33/E36</f>
        <v>8.3478587333396543</v>
      </c>
      <c r="G41" s="408">
        <f>G33/G36</f>
        <v>7.9002079518965473</v>
      </c>
    </row>
    <row r="42" spans="1:8" x14ac:dyDescent="0.15">
      <c r="A42" s="229" t="s">
        <v>163</v>
      </c>
      <c r="B42" s="230" t="s">
        <v>427</v>
      </c>
      <c r="C42" s="408">
        <f>C33/SUM(C36:C37)</f>
        <v>2.7463902047086539</v>
      </c>
      <c r="D42" s="230"/>
      <c r="E42" s="408">
        <f>E33/SUM(E36:E37)</f>
        <v>3.2206361588874546</v>
      </c>
      <c r="G42" s="408">
        <f>G33/SUM(G36:G37)</f>
        <v>2.8889895623059418</v>
      </c>
    </row>
    <row r="43" spans="1:8" x14ac:dyDescent="0.15">
      <c r="A43" s="230" t="s">
        <v>113</v>
      </c>
      <c r="B43" s="230" t="s">
        <v>427</v>
      </c>
      <c r="C43" s="408">
        <f>C42/(1-C7)</f>
        <v>3.4329877558858173</v>
      </c>
      <c r="D43" s="230"/>
      <c r="E43" s="408">
        <f>E42/(1-E7)</f>
        <v>4.0257951986093179</v>
      </c>
      <c r="G43" s="408">
        <f>G42/(1-G7)</f>
        <v>3.6112369528824271</v>
      </c>
    </row>
    <row r="44" spans="1:8" s="401" customFormat="1" x14ac:dyDescent="0.15">
      <c r="A44" s="401" t="s">
        <v>164</v>
      </c>
      <c r="B44" s="231" t="s">
        <v>427</v>
      </c>
      <c r="C44" s="514">
        <f>C33/C38</f>
        <v>3471.7969215908211</v>
      </c>
      <c r="D44" s="515"/>
      <c r="E44" s="514">
        <f>E33/E38</f>
        <v>2456.9187928907968</v>
      </c>
      <c r="F44" s="514"/>
      <c r="G44" s="514">
        <f>G33/G38</f>
        <v>2838.2630576673801</v>
      </c>
      <c r="H44" s="231"/>
    </row>
    <row r="45" spans="1:8" x14ac:dyDescent="0.15">
      <c r="C45" s="395"/>
      <c r="E45" s="395"/>
      <c r="F45" s="395"/>
      <c r="G45" s="395"/>
    </row>
  </sheetData>
  <phoneticPr fontId="49" type="noConversion"/>
  <hyperlinks>
    <hyperlink ref="B3" r:id="rId1" location="Whatdoyougetforyourdollar"/>
  </hyperlinks>
  <pageMargins left="0.75" right="0.75" top="1" bottom="1" header="0.51180555555555551" footer="0.51180555555555551"/>
  <headerFooter alignWithMargins="0"/>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B119"/>
  <sheetViews>
    <sheetView tabSelected="1" topLeftCell="A8" zoomScale="125" workbookViewId="0">
      <selection activeCell="G8" sqref="G8"/>
    </sheetView>
  </sheetViews>
  <sheetFormatPr baseColWidth="10" defaultColWidth="8.83203125" defaultRowHeight="11" x14ac:dyDescent="0.15"/>
  <cols>
    <col min="1" max="1" width="1.5" style="233" customWidth="1"/>
    <col min="2" max="2" width="9.5" style="233" customWidth="1"/>
    <col min="3" max="3" width="14.5" style="233" customWidth="1"/>
    <col min="4" max="4" width="5.83203125" style="233" customWidth="1"/>
    <col min="5" max="5" width="1.83203125" style="233" customWidth="1"/>
    <col min="6" max="6" width="21.5" style="233" customWidth="1"/>
    <col min="7" max="7" width="13.5" style="233" customWidth="1"/>
    <col min="8" max="8" width="1.5" style="233" customWidth="1"/>
    <col min="9" max="9" width="16.5" style="233" customWidth="1"/>
    <col min="10" max="10" width="8.5" style="233" customWidth="1"/>
    <col min="11" max="11" width="1.5" style="233" customWidth="1"/>
    <col min="12" max="12" width="22.83203125" style="233" customWidth="1"/>
    <col min="13" max="13" width="8.5" style="233" customWidth="1"/>
    <col min="14" max="14" width="0.83203125" style="233" customWidth="1"/>
    <col min="15" max="15" width="2.83203125" style="233" customWidth="1"/>
    <col min="16" max="16" width="1" style="233" customWidth="1"/>
    <col min="17" max="17" width="14.5" style="233" customWidth="1"/>
    <col min="18" max="18" width="30.83203125" style="233" customWidth="1"/>
    <col min="19" max="19" width="23.5" style="233" customWidth="1"/>
    <col min="20" max="20" width="1" style="233" customWidth="1"/>
    <col min="21" max="21" width="24.5" style="233" customWidth="1"/>
    <col min="22" max="23" width="12.5" style="233" customWidth="1"/>
    <col min="24" max="24" width="12.5" style="246" customWidth="1"/>
    <col min="25" max="25" width="13.5" style="233" customWidth="1"/>
    <col min="26" max="26" width="14.1640625" style="233" customWidth="1"/>
    <col min="27" max="28" width="11.5" style="233" customWidth="1"/>
    <col min="29" max="29" width="2.5" style="233" customWidth="1"/>
    <col min="30" max="30" width="39.5" style="233" customWidth="1"/>
    <col min="31" max="31" width="14.5" style="233" bestFit="1" customWidth="1"/>
    <col min="32" max="16384" width="8.83203125" style="233"/>
  </cols>
  <sheetData>
    <row r="1" spans="1:54" ht="6" customHeight="1" thickBot="1" x14ac:dyDescent="0.35">
      <c r="A1" s="274"/>
      <c r="B1" s="246"/>
      <c r="C1" s="246"/>
      <c r="D1" s="246"/>
      <c r="E1" s="246"/>
      <c r="F1" s="246"/>
      <c r="G1" s="246"/>
      <c r="H1" s="246"/>
      <c r="I1" s="246"/>
      <c r="J1" s="246"/>
      <c r="K1" s="246"/>
      <c r="L1" s="246"/>
      <c r="M1" s="246"/>
      <c r="N1" s="246"/>
      <c r="O1" s="246"/>
      <c r="P1" s="246"/>
      <c r="Q1" s="246"/>
      <c r="R1" s="254"/>
      <c r="S1" s="246"/>
      <c r="T1" s="246"/>
      <c r="U1" s="246"/>
      <c r="V1" s="246"/>
      <c r="W1" s="246"/>
      <c r="Y1" s="246"/>
      <c r="Z1" s="246"/>
      <c r="AA1" s="246"/>
      <c r="AB1" s="246"/>
      <c r="AC1" s="246"/>
      <c r="AD1" s="246"/>
      <c r="AE1" s="246"/>
      <c r="AF1" s="246"/>
      <c r="AG1" s="246"/>
      <c r="AH1" s="246"/>
      <c r="AI1" s="246"/>
      <c r="AJ1" s="246"/>
      <c r="AK1" s="246"/>
      <c r="AL1" s="246"/>
      <c r="AM1" s="246"/>
      <c r="AN1" s="246"/>
      <c r="AO1" s="246"/>
      <c r="AP1" s="246"/>
      <c r="AQ1" s="246"/>
    </row>
    <row r="2" spans="1:54" ht="15" customHeight="1" x14ac:dyDescent="0.25">
      <c r="A2" s="246"/>
      <c r="B2" s="246"/>
      <c r="C2" s="334"/>
      <c r="D2" s="249"/>
      <c r="E2" s="249"/>
      <c r="F2" s="246"/>
      <c r="G2" s="246"/>
      <c r="H2" s="246"/>
      <c r="I2" s="246"/>
      <c r="J2" s="246"/>
      <c r="K2" s="274"/>
      <c r="L2" s="386"/>
      <c r="M2" s="274"/>
      <c r="N2" s="246"/>
      <c r="O2" s="246"/>
      <c r="P2" s="246"/>
      <c r="Q2" s="246"/>
      <c r="S2" s="553" t="s">
        <v>409</v>
      </c>
      <c r="T2" s="554"/>
      <c r="U2" s="333"/>
      <c r="V2" s="333"/>
      <c r="W2" s="333"/>
      <c r="X2" s="333"/>
      <c r="Y2" s="246"/>
      <c r="Z2" s="557" t="s">
        <v>290</v>
      </c>
      <c r="AA2" s="558"/>
      <c r="AB2" s="559"/>
      <c r="AC2" s="246"/>
      <c r="AD2" s="246"/>
      <c r="AE2" s="246"/>
      <c r="AF2" s="246"/>
      <c r="AG2" s="246"/>
      <c r="AH2" s="246"/>
      <c r="AI2" s="246"/>
      <c r="AJ2" s="246"/>
      <c r="AK2" s="246"/>
      <c r="AL2" s="246"/>
      <c r="AM2" s="246"/>
      <c r="AN2" s="246"/>
      <c r="AO2" s="246"/>
      <c r="AP2" s="246"/>
      <c r="AQ2" s="246"/>
      <c r="AS2" s="232" t="s">
        <v>477</v>
      </c>
      <c r="AT2" s="232" t="s">
        <v>478</v>
      </c>
      <c r="AU2" s="232" t="s">
        <v>479</v>
      </c>
      <c r="AV2" s="232" t="s">
        <v>480</v>
      </c>
      <c r="AW2" s="232" t="s">
        <v>481</v>
      </c>
      <c r="AX2" s="232" t="s">
        <v>482</v>
      </c>
      <c r="AY2" s="232" t="s">
        <v>483</v>
      </c>
      <c r="AZ2" s="232" t="s">
        <v>432</v>
      </c>
      <c r="BA2" s="232" t="s">
        <v>485</v>
      </c>
    </row>
    <row r="3" spans="1:54" ht="19.5" customHeight="1" thickBot="1" x14ac:dyDescent="0.3">
      <c r="A3" s="246"/>
      <c r="B3" s="334"/>
      <c r="C3" s="334"/>
      <c r="D3" s="249"/>
      <c r="E3" s="249"/>
      <c r="F3" s="246"/>
      <c r="G3" s="246"/>
      <c r="H3" s="246"/>
      <c r="I3" s="246"/>
      <c r="J3" s="246"/>
      <c r="K3" s="274"/>
      <c r="L3" s="274"/>
      <c r="M3" s="274"/>
      <c r="N3" s="246"/>
      <c r="O3" s="246"/>
      <c r="P3" s="246"/>
      <c r="Q3" s="246"/>
      <c r="R3" s="333"/>
      <c r="S3" s="555"/>
      <c r="T3" s="556"/>
      <c r="U3" s="333"/>
      <c r="V3" s="333"/>
      <c r="W3" s="333"/>
      <c r="X3" s="333"/>
      <c r="Y3" s="246"/>
      <c r="Z3" s="560"/>
      <c r="AA3" s="561"/>
      <c r="AB3" s="562"/>
      <c r="AC3" s="246"/>
      <c r="AD3" s="246"/>
      <c r="AE3" s="246"/>
      <c r="AF3" s="246"/>
      <c r="AG3" s="246"/>
      <c r="AH3" s="246"/>
      <c r="AI3" s="246"/>
      <c r="AJ3" s="246"/>
      <c r="AK3" s="246"/>
      <c r="AL3" s="246"/>
      <c r="AM3" s="246"/>
      <c r="AN3" s="246"/>
      <c r="AO3" s="246"/>
      <c r="AP3" s="246"/>
      <c r="AQ3" s="246"/>
      <c r="AS3" s="232"/>
      <c r="AT3" s="232"/>
      <c r="AU3" s="232"/>
      <c r="AV3" s="232"/>
      <c r="AW3" s="232"/>
      <c r="AX3" s="232"/>
      <c r="AY3" s="232"/>
      <c r="AZ3" s="232"/>
      <c r="BA3" s="232"/>
    </row>
    <row r="4" spans="1:54" ht="40.75" customHeight="1" x14ac:dyDescent="0.2">
      <c r="A4" s="246"/>
      <c r="B4" s="563" t="s">
        <v>365</v>
      </c>
      <c r="C4" s="563"/>
      <c r="D4" s="563"/>
      <c r="E4" s="336"/>
      <c r="F4" s="565" t="s">
        <v>408</v>
      </c>
      <c r="G4" s="566"/>
      <c r="H4" s="249"/>
      <c r="I4" s="246"/>
      <c r="J4" s="246"/>
      <c r="K4" s="246"/>
      <c r="L4" s="246"/>
      <c r="M4" s="246"/>
      <c r="N4" s="277"/>
      <c r="O4" s="277"/>
      <c r="P4" s="277"/>
      <c r="Q4" s="332"/>
      <c r="R4" s="457" t="s">
        <v>393</v>
      </c>
      <c r="S4" s="457" t="s">
        <v>245</v>
      </c>
      <c r="T4" s="569" t="s">
        <v>244</v>
      </c>
      <c r="U4" s="569"/>
      <c r="V4" s="569" t="s">
        <v>395</v>
      </c>
      <c r="W4" s="570"/>
      <c r="X4" s="238"/>
      <c r="Y4" s="246"/>
      <c r="Z4" s="369" t="s">
        <v>291</v>
      </c>
      <c r="AA4" s="370"/>
      <c r="AB4" s="371"/>
      <c r="AC4" s="242"/>
      <c r="AD4" s="372" t="s">
        <v>292</v>
      </c>
      <c r="AE4" s="373"/>
      <c r="AF4" s="246"/>
      <c r="AG4" s="246"/>
      <c r="AH4" s="246"/>
      <c r="AI4" s="246"/>
      <c r="AJ4" s="246"/>
      <c r="AK4" s="246"/>
      <c r="AL4" s="246"/>
      <c r="AM4" s="246"/>
      <c r="AN4" s="246"/>
      <c r="AO4" s="246"/>
      <c r="AP4" s="246"/>
      <c r="AQ4" s="246"/>
      <c r="AS4" s="232">
        <v>0</v>
      </c>
      <c r="AT4" s="278">
        <f>Q37</f>
        <v>212.7659574468085</v>
      </c>
      <c r="AU4" s="278">
        <f ca="1">(1-$D$11)*AT4</f>
        <v>106.38297872340425</v>
      </c>
      <c r="AV4" s="278"/>
      <c r="AW4" s="232"/>
      <c r="AX4" s="232">
        <f ca="1">IF(ISNUMBER(AS5),SUM(AU4:AV4),SUM(AU4:AW4))</f>
        <v>106.38297872340425</v>
      </c>
      <c r="AY4" s="279">
        <f t="shared" ref="AY4:AY30" ca="1" si="0">LN(AX4+$J$37)-LN($J$37)</f>
        <v>0.31632022465180309</v>
      </c>
      <c r="AZ4" s="232">
        <f ca="1">IF(ISNUMBER(AS4),AY4/(1+$D$7)^AS4,0)</f>
        <v>0.31632022465180309</v>
      </c>
      <c r="BA4" s="232"/>
    </row>
    <row r="5" spans="1:54" ht="10.75" customHeight="1" thickBot="1" x14ac:dyDescent="0.25">
      <c r="A5" s="246"/>
      <c r="B5" s="564"/>
      <c r="C5" s="564"/>
      <c r="D5" s="564"/>
      <c r="E5" s="335"/>
      <c r="F5" s="567"/>
      <c r="G5" s="568"/>
      <c r="H5" s="256"/>
      <c r="I5" s="256"/>
      <c r="J5" s="246"/>
      <c r="K5" s="246"/>
      <c r="L5" s="246"/>
      <c r="M5" s="246"/>
      <c r="N5" s="246"/>
      <c r="O5" s="246"/>
      <c r="P5" s="246"/>
      <c r="Q5" s="459" t="s">
        <v>411</v>
      </c>
      <c r="R5" s="458">
        <f ca="1">D37/(1+D7)^10</f>
        <v>0.16514266520246426</v>
      </c>
      <c r="S5" s="458">
        <f ca="1">R5*(1-1/(1+D7)^G16)/(1-1/(1+D7))</f>
        <v>2.6655799099374766</v>
      </c>
      <c r="T5" s="571">
        <f ca="1">S5*G11*G7*G9*G18*G8/G37</f>
        <v>0.12067652937549757</v>
      </c>
      <c r="U5" s="571"/>
      <c r="V5" s="572">
        <f ca="1">$G$14*$G$10</f>
        <v>5.2824539999999998E-3</v>
      </c>
      <c r="W5" s="573"/>
      <c r="X5" s="238"/>
      <c r="Y5" s="246"/>
      <c r="Z5" s="357" t="s">
        <v>121</v>
      </c>
      <c r="AA5" s="358"/>
      <c r="AB5" s="359"/>
      <c r="AC5" s="247"/>
      <c r="AD5" s="238"/>
      <c r="AE5" s="244"/>
      <c r="AF5" s="246"/>
      <c r="AG5" s="246"/>
      <c r="AH5" s="246"/>
      <c r="AI5" s="246"/>
      <c r="AJ5" s="246"/>
      <c r="AK5" s="246"/>
      <c r="AL5" s="246"/>
      <c r="AM5" s="246"/>
      <c r="AN5" s="246"/>
      <c r="AO5" s="246"/>
      <c r="AP5" s="246"/>
      <c r="AQ5" s="246"/>
      <c r="AS5" s="232">
        <f t="shared" ref="AS5:AS68" ca="1" si="1">IF(AS4&lt;$D$14,AS4+1,"")</f>
        <v>1</v>
      </c>
      <c r="AT5" s="278">
        <f ca="1">AT4-AU4</f>
        <v>106.38297872340425</v>
      </c>
      <c r="AU5" s="278"/>
      <c r="AV5" s="278">
        <f t="shared" ref="AV5:AV71" ca="1" si="2">$D$10*AT5</f>
        <v>20.212765957446809</v>
      </c>
      <c r="AW5" s="278">
        <f ca="1">AT5</f>
        <v>106.38297872340425</v>
      </c>
      <c r="AX5" s="232">
        <f t="shared" ref="AX5:AX14" ca="1" si="3">IF(ISNUMBER(AS6),SUM(AU5:AV5),SUM(AU5:AW5))</f>
        <v>20.212765957446809</v>
      </c>
      <c r="AY5" s="279">
        <f t="shared" ca="1" si="0"/>
        <v>6.8306303745020891E-2</v>
      </c>
      <c r="AZ5" s="232">
        <f t="shared" ref="AZ5:AZ71" ca="1" si="4">IF(ISNUMBER(AS5),AY5/(1+$D$7)^AS5,0)</f>
        <v>6.5053622614305612E-2</v>
      </c>
      <c r="BA5" s="232">
        <f ca="1">SUM(AZ5:AZ114)</f>
        <v>0.96365615609067312</v>
      </c>
      <c r="BB5" s="233">
        <f ca="1">SUM(AZ5:AZ23)</f>
        <v>0.82550359749644986</v>
      </c>
    </row>
    <row r="6" spans="1:54" ht="15" customHeight="1" x14ac:dyDescent="0.2">
      <c r="A6" s="246"/>
      <c r="B6" s="242"/>
      <c r="C6" s="587" t="s">
        <v>540</v>
      </c>
      <c r="D6" s="587"/>
      <c r="E6" s="271"/>
      <c r="F6" s="350" t="s">
        <v>541</v>
      </c>
      <c r="G6" s="351"/>
      <c r="H6" s="272"/>
      <c r="I6" s="587" t="s">
        <v>567</v>
      </c>
      <c r="J6" s="587"/>
      <c r="K6" s="272"/>
      <c r="L6" s="588" t="s">
        <v>390</v>
      </c>
      <c r="M6" s="588"/>
      <c r="N6" s="243"/>
      <c r="O6" s="238"/>
      <c r="P6" s="246"/>
      <c r="Q6" s="459" t="s">
        <v>412</v>
      </c>
      <c r="R6" s="458">
        <f ca="1">(M15*M11)/(1+D7)^10</f>
        <v>0</v>
      </c>
      <c r="S6" s="458">
        <f ca="1">R6*(1-1/(1+D7)^G16)/(1-1/(1+D7))</f>
        <v>0</v>
      </c>
      <c r="T6" s="571">
        <f ca="1">S6*M8*M9*M14*(W37/V37)*G11</f>
        <v>0</v>
      </c>
      <c r="U6" s="571"/>
      <c r="V6" s="572">
        <v>0</v>
      </c>
      <c r="W6" s="589"/>
      <c r="X6" s="238"/>
      <c r="Y6" s="246"/>
      <c r="Z6" s="360" t="s">
        <v>570</v>
      </c>
      <c r="AA6" s="361"/>
      <c r="AB6" s="362">
        <f ca="1">$G$7*$G$8*$G$9*G$18*$J7</f>
        <v>1.9178848351648344E-2</v>
      </c>
      <c r="AC6" s="247"/>
      <c r="AD6" s="590" t="s">
        <v>123</v>
      </c>
      <c r="AE6" s="574">
        <f ca="1">G10</f>
        <v>3</v>
      </c>
      <c r="AF6" s="246"/>
      <c r="AG6" s="246"/>
      <c r="AH6" s="246"/>
      <c r="AI6" s="246"/>
      <c r="AJ6" s="246"/>
      <c r="AK6" s="246"/>
      <c r="AL6" s="246"/>
      <c r="AM6" s="246"/>
      <c r="AN6" s="246"/>
      <c r="AO6" s="246"/>
      <c r="AP6" s="246"/>
      <c r="AQ6" s="246"/>
      <c r="AS6" s="232">
        <f t="shared" ca="1" si="1"/>
        <v>2</v>
      </c>
      <c r="AT6" s="278">
        <f t="shared" ref="AT6:AT72" ca="1" si="5">IF(ISNUMBER(AS6),AW5,0)</f>
        <v>106.38297872340425</v>
      </c>
      <c r="AU6" s="278"/>
      <c r="AV6" s="278">
        <f t="shared" ca="1" si="2"/>
        <v>20.212765957446809</v>
      </c>
      <c r="AW6" s="278">
        <f t="shared" ref="AW6:AW72" ca="1" si="6">AT6</f>
        <v>106.38297872340425</v>
      </c>
      <c r="AX6" s="232">
        <f t="shared" ca="1" si="3"/>
        <v>20.212765957446809</v>
      </c>
      <c r="AY6" s="279">
        <f t="shared" ca="1" si="0"/>
        <v>6.8306303745020891E-2</v>
      </c>
      <c r="AZ6" s="232">
        <f t="shared" ca="1" si="4"/>
        <v>6.1955831061243437E-2</v>
      </c>
      <c r="BA6" s="232"/>
    </row>
    <row r="7" spans="1:54" ht="20.5" customHeight="1" x14ac:dyDescent="0.2">
      <c r="A7" s="246"/>
      <c r="B7" s="576" t="s">
        <v>573</v>
      </c>
      <c r="C7" s="301" t="s">
        <v>528</v>
      </c>
      <c r="D7" s="139">
        <f ca="1">Summary!$U$19</f>
        <v>0.05</v>
      </c>
      <c r="E7" s="234"/>
      <c r="F7" s="321" t="s">
        <v>532</v>
      </c>
      <c r="G7" s="338">
        <f ca="1">Summary!$Z$19</f>
        <v>0.54212454212454209</v>
      </c>
      <c r="H7" s="236"/>
      <c r="I7" s="321" t="s">
        <v>536</v>
      </c>
      <c r="J7" s="381">
        <f ca="1">Summary!$AI$19</f>
        <v>0.25359999999999999</v>
      </c>
      <c r="K7" s="314"/>
      <c r="L7" s="321" t="s">
        <v>397</v>
      </c>
      <c r="M7" s="324"/>
      <c r="N7" s="244"/>
      <c r="O7" s="238"/>
      <c r="P7" s="246"/>
      <c r="Q7" s="247"/>
      <c r="R7" s="238"/>
      <c r="S7" s="238"/>
      <c r="T7" s="238"/>
      <c r="U7" s="318"/>
      <c r="V7" s="238"/>
      <c r="W7" s="244"/>
      <c r="X7" s="238"/>
      <c r="Y7" s="246"/>
      <c r="Z7" s="360" t="s">
        <v>560</v>
      </c>
      <c r="AA7" s="361"/>
      <c r="AB7" s="362">
        <f ca="1">$G$7*$G$8*$G$9*G$18*$J8</f>
        <v>1.4043162781040291E-2</v>
      </c>
      <c r="AC7" s="247"/>
      <c r="AD7" s="591"/>
      <c r="AE7" s="575"/>
      <c r="AF7" s="246"/>
      <c r="AG7" s="246"/>
      <c r="AH7" s="246"/>
      <c r="AI7" s="246"/>
      <c r="AJ7" s="246"/>
      <c r="AK7" s="246"/>
      <c r="AL7" s="246"/>
      <c r="AM7" s="246"/>
      <c r="AN7" s="246"/>
      <c r="AO7" s="246"/>
      <c r="AP7" s="246"/>
      <c r="AQ7" s="246"/>
      <c r="AS7" s="232">
        <f t="shared" ca="1" si="1"/>
        <v>3</v>
      </c>
      <c r="AT7" s="278">
        <f ca="1">IF(ISNUMBER(AS7),AW6,0)</f>
        <v>106.38297872340425</v>
      </c>
      <c r="AU7" s="278"/>
      <c r="AV7" s="278">
        <f t="shared" ca="1" si="2"/>
        <v>20.212765957446809</v>
      </c>
      <c r="AW7" s="278">
        <f t="shared" ca="1" si="6"/>
        <v>106.38297872340425</v>
      </c>
      <c r="AX7" s="232">
        <f t="shared" ca="1" si="3"/>
        <v>20.212765957446809</v>
      </c>
      <c r="AY7" s="279">
        <f t="shared" ca="1" si="0"/>
        <v>6.8306303745020891E-2</v>
      </c>
      <c r="AZ7" s="232">
        <f t="shared" ca="1" si="4"/>
        <v>5.9005553391660408E-2</v>
      </c>
      <c r="BA7" s="232"/>
    </row>
    <row r="8" spans="1:54" ht="42" customHeight="1" thickBot="1" x14ac:dyDescent="0.25">
      <c r="A8" s="246"/>
      <c r="B8" s="576"/>
      <c r="C8" s="294"/>
      <c r="D8" s="294"/>
      <c r="E8" s="273"/>
      <c r="F8" s="323" t="s">
        <v>534</v>
      </c>
      <c r="G8" s="245">
        <f ca="1">Summary!$AA$19</f>
        <v>0.6</v>
      </c>
      <c r="H8" s="237"/>
      <c r="I8" s="312" t="s">
        <v>537</v>
      </c>
      <c r="J8" s="379">
        <f ca="1">Summary!$AJ$19</f>
        <v>0.18569134162665896</v>
      </c>
      <c r="K8" s="315"/>
      <c r="L8" s="312" t="s">
        <v>391</v>
      </c>
      <c r="M8" s="313"/>
      <c r="N8" s="244"/>
      <c r="O8" s="238"/>
      <c r="P8" s="246"/>
      <c r="Q8" s="577" t="s">
        <v>413</v>
      </c>
      <c r="R8" s="238"/>
      <c r="S8" s="460" t="s">
        <v>246</v>
      </c>
      <c r="T8" s="578" t="s">
        <v>562</v>
      </c>
      <c r="U8" s="578"/>
      <c r="V8" s="579" t="s">
        <v>446</v>
      </c>
      <c r="W8" s="580"/>
      <c r="X8" s="238"/>
      <c r="Y8" s="246"/>
      <c r="Z8" s="360" t="s">
        <v>566</v>
      </c>
      <c r="AA8" s="361"/>
      <c r="AB8" s="362">
        <f ca="1">$G$7*$G$8*$G$9*G$18/M18</f>
        <v>3.7813186813186801E-2</v>
      </c>
      <c r="AC8" s="374"/>
      <c r="AD8" s="375" t="s">
        <v>124</v>
      </c>
      <c r="AE8" s="376">
        <f ca="1">(AE6*U37)/S5</f>
        <v>41.107377644728047</v>
      </c>
      <c r="AF8" s="246"/>
      <c r="AG8" s="246"/>
      <c r="AH8" s="246"/>
      <c r="AI8" s="246"/>
      <c r="AJ8" s="246"/>
      <c r="AK8" s="246"/>
      <c r="AL8" s="246"/>
      <c r="AM8" s="246"/>
      <c r="AN8" s="246"/>
      <c r="AO8" s="246"/>
      <c r="AP8" s="246"/>
      <c r="AQ8" s="246"/>
      <c r="AS8" s="232">
        <f t="shared" ca="1" si="1"/>
        <v>4</v>
      </c>
      <c r="AT8" s="278">
        <f t="shared" ca="1" si="5"/>
        <v>106.38297872340425</v>
      </c>
      <c r="AU8" s="278"/>
      <c r="AV8" s="278">
        <f t="shared" ca="1" si="2"/>
        <v>20.212765957446809</v>
      </c>
      <c r="AW8" s="278">
        <f t="shared" ca="1" si="6"/>
        <v>106.38297872340425</v>
      </c>
      <c r="AX8" s="232">
        <f t="shared" ca="1" si="3"/>
        <v>20.212765957446809</v>
      </c>
      <c r="AY8" s="279">
        <f t="shared" ca="1" si="0"/>
        <v>6.8306303745020891E-2</v>
      </c>
      <c r="AZ8" s="232">
        <f t="shared" ca="1" si="4"/>
        <v>5.6195765134914685E-2</v>
      </c>
      <c r="BA8" s="232"/>
    </row>
    <row r="9" spans="1:54" ht="33" x14ac:dyDescent="0.2">
      <c r="A9" s="246"/>
      <c r="B9" s="576"/>
      <c r="C9" s="581" t="s">
        <v>542</v>
      </c>
      <c r="D9" s="581"/>
      <c r="E9" s="234"/>
      <c r="F9" s="312" t="s">
        <v>440</v>
      </c>
      <c r="G9" s="313">
        <f ca="1">Summary!$AB$19</f>
        <v>0.77500000000000002</v>
      </c>
      <c r="H9" s="237"/>
      <c r="I9" s="312" t="s">
        <v>386</v>
      </c>
      <c r="J9" s="379">
        <f ca="1">Summary!$AK$19</f>
        <v>1.07</v>
      </c>
      <c r="K9" s="315"/>
      <c r="L9" s="312" t="s">
        <v>392</v>
      </c>
      <c r="M9" s="313"/>
      <c r="N9" s="244"/>
      <c r="O9" s="238"/>
      <c r="P9" s="246"/>
      <c r="Q9" s="577"/>
      <c r="R9" s="522" t="s">
        <v>572</v>
      </c>
      <c r="S9" s="468">
        <f ca="1">J11*($T$5*AB13*J14*J7+$V$5*(J7*$G$13))</f>
        <v>2.6959091099925211E-2</v>
      </c>
      <c r="T9" s="582">
        <f ca="1">S9/(J16/J9)</f>
        <v>5.0607416626175392E-2</v>
      </c>
      <c r="U9" s="582"/>
      <c r="V9" s="583">
        <f ca="1">($G$10*$U$37)/T9</f>
        <v>2165.1964732640622</v>
      </c>
      <c r="W9" s="584"/>
      <c r="X9" s="238"/>
      <c r="Y9" s="387"/>
      <c r="Z9" s="585" t="s">
        <v>288</v>
      </c>
      <c r="AA9" s="586"/>
      <c r="AB9" s="411">
        <v>0.05</v>
      </c>
      <c r="AC9" s="246"/>
      <c r="AD9" s="246"/>
      <c r="AE9" s="388"/>
      <c r="AF9" s="246"/>
      <c r="AG9" s="246"/>
      <c r="AH9" s="246"/>
      <c r="AI9" s="246"/>
      <c r="AJ9" s="246"/>
      <c r="AK9" s="246"/>
      <c r="AL9" s="246"/>
      <c r="AM9" s="246"/>
      <c r="AN9" s="246"/>
      <c r="AO9" s="246"/>
      <c r="AP9" s="246"/>
      <c r="AQ9" s="246"/>
      <c r="AS9" s="232">
        <f t="shared" ca="1" si="1"/>
        <v>5</v>
      </c>
      <c r="AT9" s="278">
        <f t="shared" ca="1" si="5"/>
        <v>106.38297872340425</v>
      </c>
      <c r="AU9" s="278"/>
      <c r="AV9" s="278">
        <f t="shared" ca="1" si="2"/>
        <v>20.212765957446809</v>
      </c>
      <c r="AW9" s="278">
        <f t="shared" ca="1" si="6"/>
        <v>106.38297872340425</v>
      </c>
      <c r="AX9" s="232">
        <f ca="1">IF(ISNUMBER(AS10),SUM(AU9:AV9),SUM(AU9:AW9))</f>
        <v>20.212765957446809</v>
      </c>
      <c r="AY9" s="279">
        <f t="shared" ca="1" si="0"/>
        <v>6.8306303745020891E-2</v>
      </c>
      <c r="AZ9" s="232">
        <f t="shared" ca="1" si="4"/>
        <v>5.3519776318966358E-2</v>
      </c>
      <c r="BA9" s="232"/>
    </row>
    <row r="10" spans="1:54" ht="39.75" customHeight="1" x14ac:dyDescent="0.2">
      <c r="A10" s="246"/>
      <c r="B10" s="576"/>
      <c r="C10" s="291" t="s">
        <v>531</v>
      </c>
      <c r="D10" s="292">
        <f ca="1">Summary!$V$19</f>
        <v>0.19</v>
      </c>
      <c r="E10" s="284"/>
      <c r="F10" s="312" t="s">
        <v>231</v>
      </c>
      <c r="G10" s="503">
        <f ca="1">Summary!$AC$19</f>
        <v>3</v>
      </c>
      <c r="H10" s="285"/>
      <c r="I10" s="312" t="s">
        <v>387</v>
      </c>
      <c r="J10" s="379">
        <f ca="1">Summary!$AL$19</f>
        <v>1</v>
      </c>
      <c r="K10" s="315"/>
      <c r="L10" s="312" t="s">
        <v>406</v>
      </c>
      <c r="M10" s="313"/>
      <c r="N10" s="244"/>
      <c r="O10" s="238"/>
      <c r="P10" s="246"/>
      <c r="Q10" s="577"/>
      <c r="R10" s="523" t="s">
        <v>14</v>
      </c>
      <c r="S10" s="468">
        <f ca="1">J18*($T$5*AB14*J15*J8+$V$5*(J8*$G$13))</f>
        <v>1.8768251922621021E-2</v>
      </c>
      <c r="T10" s="582">
        <f ca="1">S10/(J17/J10)</f>
        <v>3.0048434074000992E-2</v>
      </c>
      <c r="U10" s="582"/>
      <c r="V10" s="583">
        <f ca="1">($G$10*$U$37)/T10</f>
        <v>3646.6126564248593</v>
      </c>
      <c r="W10" s="584"/>
      <c r="X10" s="238"/>
      <c r="Y10" s="246"/>
      <c r="Z10" s="592" t="s">
        <v>105</v>
      </c>
      <c r="AA10" s="593"/>
      <c r="AB10" s="377" t="s">
        <v>287</v>
      </c>
      <c r="AC10" s="246"/>
      <c r="AD10" s="387"/>
      <c r="AE10" s="388"/>
      <c r="AF10" s="246"/>
      <c r="AG10" s="246"/>
      <c r="AH10" s="246"/>
      <c r="AI10" s="246"/>
      <c r="AJ10" s="246"/>
      <c r="AK10" s="246"/>
      <c r="AL10" s="246"/>
      <c r="AM10" s="246"/>
      <c r="AN10" s="246"/>
      <c r="AO10" s="246"/>
      <c r="AP10" s="246"/>
      <c r="AQ10" s="246"/>
      <c r="AS10" s="232">
        <f t="shared" ca="1" si="1"/>
        <v>6</v>
      </c>
      <c r="AT10" s="278">
        <f ca="1">IF(ISNUMBER(AS10),AW9,0)</f>
        <v>106.38297872340425</v>
      </c>
      <c r="AU10" s="278"/>
      <c r="AV10" s="278">
        <f t="shared" ca="1" si="2"/>
        <v>20.212765957446809</v>
      </c>
      <c r="AW10" s="278">
        <f t="shared" ca="1" si="6"/>
        <v>106.38297872340425</v>
      </c>
      <c r="AX10" s="232">
        <f ca="1">IF(ISNUMBER(AS11),SUM(AU10:AV10),SUM(AU10:AW10))</f>
        <v>20.212765957446809</v>
      </c>
      <c r="AY10" s="279">
        <f t="shared" ca="1" si="0"/>
        <v>6.8306303745020891E-2</v>
      </c>
      <c r="AZ10" s="232">
        <f t="shared" ca="1" si="4"/>
        <v>5.0971215541872728E-2</v>
      </c>
      <c r="BA10" s="232"/>
    </row>
    <row r="11" spans="1:54" ht="33" customHeight="1" x14ac:dyDescent="0.2">
      <c r="A11" s="246"/>
      <c r="B11" s="576"/>
      <c r="C11" s="298" t="s">
        <v>533</v>
      </c>
      <c r="D11" s="299">
        <f ca="1">Summary!$W$19</f>
        <v>0.5</v>
      </c>
      <c r="E11" s="235"/>
      <c r="F11" s="312" t="s">
        <v>241</v>
      </c>
      <c r="G11" s="503">
        <f ca="1">Summary!$AD$19</f>
        <v>1.4426961458207845</v>
      </c>
      <c r="H11" s="238"/>
      <c r="I11" s="312" t="s">
        <v>230</v>
      </c>
      <c r="J11" s="379">
        <f ca="1">Summary!$AM$19</f>
        <v>0.81</v>
      </c>
      <c r="K11" s="315"/>
      <c r="L11" s="312" t="s">
        <v>405</v>
      </c>
      <c r="M11" s="313"/>
      <c r="N11" s="244"/>
      <c r="O11" s="246"/>
      <c r="P11" s="246"/>
      <c r="Q11" s="577"/>
      <c r="R11" s="522" t="s">
        <v>566</v>
      </c>
      <c r="S11" s="468" t="s">
        <v>120</v>
      </c>
      <c r="T11" s="582">
        <f ca="1">(1/S37)*(1/M18)*T5*AB15+(1/R37)*U37*G10</f>
        <v>5.5314833753199372E-2</v>
      </c>
      <c r="U11" s="582">
        <f ca="1">(1/S37)*(1/M18)*T5+1/R37*(G10*S5)</f>
        <v>1.9525952241395653E-2</v>
      </c>
      <c r="V11" s="583">
        <f ca="1">($G$10*$U$37)/T11</f>
        <v>1980.9333693181763</v>
      </c>
      <c r="W11" s="584"/>
      <c r="X11" s="238"/>
      <c r="Y11" s="246"/>
      <c r="Z11" s="247"/>
      <c r="AA11" s="238"/>
      <c r="AB11" s="244"/>
      <c r="AC11" s="246"/>
      <c r="AD11" s="246"/>
      <c r="AE11" s="246"/>
      <c r="AF11" s="246"/>
      <c r="AG11" s="246"/>
      <c r="AH11" s="246"/>
      <c r="AI11" s="246"/>
      <c r="AJ11" s="246"/>
      <c r="AK11" s="246"/>
      <c r="AL11" s="246"/>
      <c r="AM11" s="246"/>
      <c r="AN11" s="246"/>
      <c r="AO11" s="246"/>
      <c r="AP11" s="246"/>
      <c r="AQ11" s="246"/>
      <c r="AS11" s="232">
        <f t="shared" ca="1" si="1"/>
        <v>7</v>
      </c>
      <c r="AT11" s="278">
        <f ca="1">IF(ISNUMBER(AS11),AW10,0)</f>
        <v>106.38297872340425</v>
      </c>
      <c r="AU11" s="278"/>
      <c r="AV11" s="278">
        <f t="shared" ca="1" si="2"/>
        <v>20.212765957446809</v>
      </c>
      <c r="AW11" s="278">
        <f t="shared" ca="1" si="6"/>
        <v>106.38297872340425</v>
      </c>
      <c r="AX11" s="232">
        <f ca="1">IF(ISNUMBER(AS12),SUM(AU11:AV11),SUM(AU11:AW11))</f>
        <v>20.212765957446809</v>
      </c>
      <c r="AY11" s="279">
        <f t="shared" ca="1" si="0"/>
        <v>6.8306303745020891E-2</v>
      </c>
      <c r="AZ11" s="232">
        <f t="shared" ca="1" si="4"/>
        <v>4.8544014801783546E-2</v>
      </c>
      <c r="BA11" s="232"/>
    </row>
    <row r="12" spans="1:54" ht="22.75" customHeight="1" thickBot="1" x14ac:dyDescent="0.25">
      <c r="A12" s="246"/>
      <c r="B12" s="247"/>
      <c r="C12" s="241"/>
      <c r="D12" s="240"/>
      <c r="E12" s="234"/>
      <c r="F12" s="390"/>
      <c r="G12" s="391"/>
      <c r="H12" s="241"/>
      <c r="I12" s="241"/>
      <c r="J12" s="380"/>
      <c r="K12" s="238"/>
      <c r="L12" s="312" t="s">
        <v>399</v>
      </c>
      <c r="M12" s="313"/>
      <c r="N12" s="244"/>
      <c r="O12" s="238"/>
      <c r="P12" s="246"/>
      <c r="Q12" s="293"/>
      <c r="R12" s="522" t="s">
        <v>396</v>
      </c>
      <c r="S12" s="468">
        <f ca="1">T6*M12</f>
        <v>0</v>
      </c>
      <c r="T12" s="582" t="e">
        <f ca="1">M13*S12/(M7/M10)</f>
        <v>#DIV/0!</v>
      </c>
      <c r="U12" s="582"/>
      <c r="V12" s="594" t="s">
        <v>120</v>
      </c>
      <c r="W12" s="595"/>
      <c r="X12" s="238"/>
      <c r="Y12" s="246"/>
      <c r="Z12" s="363" t="s">
        <v>286</v>
      </c>
      <c r="AA12" s="358"/>
      <c r="AB12" s="364"/>
      <c r="AC12" s="246"/>
      <c r="AD12" s="246"/>
      <c r="AE12" s="246"/>
      <c r="AF12" s="246"/>
      <c r="AG12" s="246"/>
      <c r="AH12" s="246"/>
      <c r="AI12" s="246"/>
      <c r="AJ12" s="246"/>
      <c r="AK12" s="246"/>
      <c r="AL12" s="246"/>
      <c r="AM12" s="246"/>
      <c r="AN12" s="246"/>
      <c r="AO12" s="246"/>
      <c r="AP12" s="246"/>
      <c r="AQ12" s="246"/>
      <c r="AS12" s="232">
        <f t="shared" ca="1" si="1"/>
        <v>8</v>
      </c>
      <c r="AT12" s="278">
        <f ca="1">IF(ISNUMBER(AS12),AW11,0)</f>
        <v>106.38297872340425</v>
      </c>
      <c r="AU12" s="278"/>
      <c r="AV12" s="278">
        <f t="shared" ca="1" si="2"/>
        <v>20.212765957446809</v>
      </c>
      <c r="AW12" s="278">
        <f t="shared" ca="1" si="6"/>
        <v>106.38297872340425</v>
      </c>
      <c r="AX12" s="232">
        <f ca="1">IF(ISNUMBER(AS13),SUM(AU12:AV12),SUM(AU12:AW12))</f>
        <v>20.212765957446809</v>
      </c>
      <c r="AY12" s="279">
        <f t="shared" ca="1" si="0"/>
        <v>6.8306303745020891E-2</v>
      </c>
      <c r="AZ12" s="232">
        <f t="shared" ca="1" si="4"/>
        <v>4.6232395049317664E-2</v>
      </c>
      <c r="BA12" s="232"/>
    </row>
    <row r="13" spans="1:54" ht="30.75" customHeight="1" x14ac:dyDescent="0.2">
      <c r="A13" s="246"/>
      <c r="B13" s="247"/>
      <c r="C13" s="241"/>
      <c r="D13" s="240"/>
      <c r="E13" s="234"/>
      <c r="F13" s="461" t="s">
        <v>80</v>
      </c>
      <c r="G13" s="507">
        <f ca="1">Summary!$AE$19</f>
        <v>2</v>
      </c>
      <c r="H13" s="238"/>
      <c r="I13" s="241"/>
      <c r="J13" s="380"/>
      <c r="K13" s="238"/>
      <c r="L13" s="312" t="s">
        <v>398</v>
      </c>
      <c r="M13" s="313"/>
      <c r="N13" s="244"/>
      <c r="O13" s="238"/>
      <c r="P13" s="246"/>
      <c r="Q13" s="596" t="s">
        <v>122</v>
      </c>
      <c r="R13" s="457" t="s">
        <v>442</v>
      </c>
      <c r="S13" s="457" t="s">
        <v>563</v>
      </c>
      <c r="T13" s="569" t="s">
        <v>564</v>
      </c>
      <c r="U13" s="569"/>
      <c r="V13" s="569" t="s">
        <v>562</v>
      </c>
      <c r="W13" s="570"/>
      <c r="X13" s="238"/>
      <c r="Y13" s="246"/>
      <c r="Z13" s="360" t="s">
        <v>570</v>
      </c>
      <c r="AA13" s="361"/>
      <c r="AB13" s="365">
        <f ca="1">IF($AB$10="Yes",MAX(AB6,$AB$9),AB6)/AB6</f>
        <v>1</v>
      </c>
      <c r="AC13" s="246"/>
      <c r="AD13" s="246"/>
      <c r="AE13" s="246"/>
      <c r="AF13" s="246"/>
      <c r="AG13" s="246"/>
      <c r="AH13" s="246"/>
      <c r="AI13" s="246"/>
      <c r="AJ13" s="246"/>
      <c r="AK13" s="246"/>
      <c r="AL13" s="246"/>
      <c r="AM13" s="246"/>
      <c r="AN13" s="246"/>
      <c r="AO13" s="246"/>
      <c r="AP13" s="246"/>
      <c r="AQ13" s="246"/>
      <c r="AS13" s="232">
        <f t="shared" ca="1" si="1"/>
        <v>9</v>
      </c>
      <c r="AT13" s="278">
        <f ca="1">IF(ISNUMBER(AS13),AW12,0)</f>
        <v>106.38297872340425</v>
      </c>
      <c r="AU13" s="278"/>
      <c r="AV13" s="278">
        <f t="shared" ca="1" si="2"/>
        <v>20.212765957446809</v>
      </c>
      <c r="AW13" s="278">
        <f t="shared" ca="1" si="6"/>
        <v>106.38297872340425</v>
      </c>
      <c r="AX13" s="232">
        <f t="shared" ca="1" si="3"/>
        <v>20.212765957446809</v>
      </c>
      <c r="AY13" s="279">
        <f t="shared" ca="1" si="0"/>
        <v>6.8306303745020891E-2</v>
      </c>
      <c r="AZ13" s="232">
        <f t="shared" ca="1" si="4"/>
        <v>4.4030852427921582E-2</v>
      </c>
      <c r="BA13" s="232"/>
    </row>
    <row r="14" spans="1:54" ht="21" customHeight="1" thickBot="1" x14ac:dyDescent="0.25">
      <c r="A14" s="246"/>
      <c r="B14" s="597" t="s">
        <v>366</v>
      </c>
      <c r="C14" s="598" t="s">
        <v>529</v>
      </c>
      <c r="D14" s="600">
        <f ca="1">Summary!$X$19</f>
        <v>20</v>
      </c>
      <c r="E14" s="235"/>
      <c r="F14" s="598" t="s">
        <v>530</v>
      </c>
      <c r="G14" s="600">
        <f ca="1">Summary!$AF$19</f>
        <v>1.7608179999999999E-3</v>
      </c>
      <c r="H14" s="238"/>
      <c r="I14" s="300" t="s">
        <v>539</v>
      </c>
      <c r="J14" s="382">
        <f ca="1">Summary!$AO$19</f>
        <v>1</v>
      </c>
      <c r="K14" s="316"/>
      <c r="L14" s="312" t="s">
        <v>400</v>
      </c>
      <c r="M14" s="313"/>
      <c r="N14" s="244"/>
      <c r="O14" s="238"/>
      <c r="P14" s="246"/>
      <c r="Q14" s="577"/>
      <c r="R14" s="462">
        <f ca="1">BA5</f>
        <v>0.96365615609067312</v>
      </c>
      <c r="S14" s="462">
        <f ca="1">AZ4</f>
        <v>0.31632022465180309</v>
      </c>
      <c r="T14" s="602">
        <f ca="1">R14+S14</f>
        <v>1.2799763807424762</v>
      </c>
      <c r="U14" s="602"/>
      <c r="V14" s="582">
        <f ca="1">T14/('GW medians'!Q37/'GW medians'!D16)</f>
        <v>4.8608383035076289E-3</v>
      </c>
      <c r="W14" s="603"/>
      <c r="X14" s="238"/>
      <c r="Y14" s="387"/>
      <c r="Z14" s="360" t="s">
        <v>560</v>
      </c>
      <c r="AA14" s="361"/>
      <c r="AB14" s="365">
        <f ca="1">IF($AB$10="Yes",MAX(AB7,$AB$9),AB7)/AB7</f>
        <v>1</v>
      </c>
      <c r="AC14" s="246"/>
      <c r="AD14" s="246"/>
      <c r="AE14" s="246"/>
      <c r="AF14" s="246"/>
      <c r="AG14" s="246"/>
      <c r="AH14" s="246"/>
      <c r="AI14" s="246"/>
      <c r="AJ14" s="246"/>
      <c r="AK14" s="246"/>
      <c r="AL14" s="246"/>
      <c r="AM14" s="246"/>
      <c r="AN14" s="246"/>
      <c r="AO14" s="246"/>
      <c r="AP14" s="246"/>
      <c r="AQ14" s="246"/>
      <c r="AS14" s="232">
        <f t="shared" ca="1" si="1"/>
        <v>10</v>
      </c>
      <c r="AT14" s="278">
        <f t="shared" ca="1" si="5"/>
        <v>106.38297872340425</v>
      </c>
      <c r="AU14" s="278"/>
      <c r="AV14" s="278">
        <f t="shared" ca="1" si="2"/>
        <v>20.212765957446809</v>
      </c>
      <c r="AW14" s="278">
        <f t="shared" ca="1" si="6"/>
        <v>106.38297872340425</v>
      </c>
      <c r="AX14" s="232">
        <f t="shared" ca="1" si="3"/>
        <v>20.212765957446809</v>
      </c>
      <c r="AY14" s="279">
        <f t="shared" ca="1" si="0"/>
        <v>6.8306303745020891E-2</v>
      </c>
      <c r="AZ14" s="232">
        <f t="shared" ca="1" si="4"/>
        <v>4.1934145169449127E-2</v>
      </c>
      <c r="BA14" s="232"/>
    </row>
    <row r="15" spans="1:54" ht="21" customHeight="1" thickBot="1" x14ac:dyDescent="0.25">
      <c r="A15" s="246"/>
      <c r="B15" s="597"/>
      <c r="C15" s="599"/>
      <c r="D15" s="601"/>
      <c r="E15" s="235"/>
      <c r="F15" s="599"/>
      <c r="G15" s="601"/>
      <c r="H15" s="238"/>
      <c r="I15" s="300" t="s">
        <v>538</v>
      </c>
      <c r="J15" s="383">
        <f ca="1">Summary!$AP$19</f>
        <v>0.75</v>
      </c>
      <c r="K15" s="316"/>
      <c r="L15" s="322" t="s">
        <v>403</v>
      </c>
      <c r="M15" s="337"/>
      <c r="N15" s="244"/>
      <c r="O15" s="238"/>
      <c r="P15" s="246"/>
      <c r="Q15" s="463" t="s">
        <v>129</v>
      </c>
      <c r="R15" s="415"/>
      <c r="S15" s="465" t="s">
        <v>561</v>
      </c>
      <c r="T15" s="604" t="s">
        <v>560</v>
      </c>
      <c r="U15" s="605"/>
      <c r="V15" s="465" t="s">
        <v>566</v>
      </c>
      <c r="W15" s="430" t="s">
        <v>576</v>
      </c>
      <c r="X15" s="238"/>
      <c r="Y15" s="387"/>
      <c r="Z15" s="366" t="s">
        <v>566</v>
      </c>
      <c r="AA15" s="367"/>
      <c r="AB15" s="368">
        <f ca="1">IF($AB$10="Yes",MAX(AB8,$AB$9),AB8)/AB8</f>
        <v>1</v>
      </c>
      <c r="AC15" s="246"/>
      <c r="AD15" s="246"/>
      <c r="AE15" s="246"/>
      <c r="AF15" s="246"/>
      <c r="AG15" s="246"/>
      <c r="AH15" s="246"/>
      <c r="AI15" s="246"/>
      <c r="AJ15" s="246"/>
      <c r="AK15" s="246"/>
      <c r="AL15" s="246"/>
      <c r="AM15" s="246"/>
      <c r="AN15" s="246"/>
      <c r="AO15" s="246"/>
      <c r="AP15" s="246"/>
      <c r="AQ15" s="246"/>
      <c r="AS15" s="232">
        <f t="shared" ca="1" si="1"/>
        <v>11</v>
      </c>
      <c r="AT15" s="278">
        <f t="shared" ca="1" si="5"/>
        <v>106.38297872340425</v>
      </c>
      <c r="AU15" s="278"/>
      <c r="AV15" s="278">
        <f t="shared" ca="1" si="2"/>
        <v>20.212765957446809</v>
      </c>
      <c r="AW15" s="278">
        <f t="shared" ca="1" si="6"/>
        <v>106.38297872340425</v>
      </c>
      <c r="AX15" s="232">
        <f ca="1">IF(ISNUMBER(AS16),SUM(AU15:AV15),SUM(AU15:AW15))</f>
        <v>20.212765957446809</v>
      </c>
      <c r="AY15" s="279">
        <f t="shared" ca="1" si="0"/>
        <v>6.8306303745020891E-2</v>
      </c>
      <c r="AZ15" s="232">
        <f t="shared" ca="1" si="4"/>
        <v>3.9937281113761068E-2</v>
      </c>
      <c r="BA15" s="232"/>
    </row>
    <row r="16" spans="1:54" ht="21" customHeight="1" x14ac:dyDescent="0.2">
      <c r="A16" s="246"/>
      <c r="B16" s="597"/>
      <c r="C16" s="606" t="s">
        <v>547</v>
      </c>
      <c r="D16" s="608">
        <f ca="1">Summary!$Y$19</f>
        <v>0.80800000000000005</v>
      </c>
      <c r="E16" s="235"/>
      <c r="F16" s="606" t="s">
        <v>345</v>
      </c>
      <c r="G16" s="610">
        <f ca="1">Summary!$AG$19</f>
        <v>30</v>
      </c>
      <c r="H16" s="238"/>
      <c r="I16" s="296" t="s">
        <v>556</v>
      </c>
      <c r="J16" s="384">
        <f ca="1">Summary!$AQ$19</f>
        <v>0.57000000000000006</v>
      </c>
      <c r="K16" s="317"/>
      <c r="L16" s="238"/>
      <c r="M16" s="238"/>
      <c r="N16" s="244"/>
      <c r="O16" s="238"/>
      <c r="P16" s="246"/>
      <c r="Q16" s="459"/>
      <c r="R16" s="413" t="s">
        <v>126</v>
      </c>
      <c r="S16" s="490">
        <f ca="1">$T9/$T$9</f>
        <v>1</v>
      </c>
      <c r="T16" s="612">
        <f ca="1">$T9/$T$10</f>
        <v>1.6841948070086883</v>
      </c>
      <c r="U16" s="613"/>
      <c r="V16" s="490">
        <f ca="1">$T9/$T$11</f>
        <v>0.9148977442827132</v>
      </c>
      <c r="W16" s="491">
        <f ca="1">$T9/$V$14</f>
        <v>10.411252846994845</v>
      </c>
      <c r="X16" s="238"/>
      <c r="Y16" s="387"/>
      <c r="Z16" s="246"/>
      <c r="AA16" s="246"/>
      <c r="AB16" s="246"/>
      <c r="AC16" s="246"/>
      <c r="AD16" s="246"/>
      <c r="AE16" s="246"/>
      <c r="AF16" s="246"/>
      <c r="AG16" s="246"/>
      <c r="AH16" s="246"/>
      <c r="AI16" s="246"/>
      <c r="AJ16" s="246"/>
      <c r="AK16" s="246"/>
      <c r="AL16" s="246"/>
      <c r="AM16" s="246"/>
      <c r="AN16" s="246"/>
      <c r="AO16" s="246"/>
      <c r="AP16" s="246"/>
      <c r="AQ16" s="246"/>
      <c r="AS16" s="232">
        <f t="shared" ca="1" si="1"/>
        <v>12</v>
      </c>
      <c r="AT16" s="278">
        <f t="shared" ca="1" si="5"/>
        <v>106.38297872340425</v>
      </c>
      <c r="AU16" s="278"/>
      <c r="AV16" s="278">
        <f t="shared" ca="1" si="2"/>
        <v>20.212765957446809</v>
      </c>
      <c r="AW16" s="278">
        <f t="shared" ca="1" si="6"/>
        <v>106.38297872340425</v>
      </c>
      <c r="AX16" s="232">
        <f t="shared" ref="AX16:AX81" ca="1" si="7">IF(ISNUMBER(AS17),SUM(AU16:AV16),SUM(AU16:AW16))</f>
        <v>20.212765957446809</v>
      </c>
      <c r="AY16" s="279">
        <f t="shared" ca="1" si="0"/>
        <v>6.8306303745020891E-2</v>
      </c>
      <c r="AZ16" s="232">
        <f t="shared" ca="1" si="4"/>
        <v>3.8035505822629601E-2</v>
      </c>
      <c r="BA16" s="232"/>
    </row>
    <row r="17" spans="1:54" ht="31.75" customHeight="1" x14ac:dyDescent="0.2">
      <c r="A17" s="246"/>
      <c r="B17" s="597"/>
      <c r="C17" s="607"/>
      <c r="D17" s="609"/>
      <c r="E17" s="235"/>
      <c r="F17" s="599"/>
      <c r="G17" s="611"/>
      <c r="H17" s="238"/>
      <c r="I17" s="297" t="s">
        <v>535</v>
      </c>
      <c r="J17" s="385">
        <f ca="1">Summary!$AR$19</f>
        <v>0.62460000000000004</v>
      </c>
      <c r="K17" s="317"/>
      <c r="L17" s="614" t="s">
        <v>566</v>
      </c>
      <c r="M17" s="614"/>
      <c r="N17" s="244"/>
      <c r="O17" s="238"/>
      <c r="P17" s="246"/>
      <c r="Q17" s="459"/>
      <c r="R17" s="413" t="s">
        <v>127</v>
      </c>
      <c r="S17" s="490">
        <f ca="1">$T10/$T$9</f>
        <v>0.59375554172151135</v>
      </c>
      <c r="T17" s="612">
        <f ca="1">$T10/$T$10</f>
        <v>1</v>
      </c>
      <c r="U17" s="613"/>
      <c r="V17" s="490">
        <f ca="1">$T10/$T$11</f>
        <v>0.54322560577637113</v>
      </c>
      <c r="W17" s="491">
        <f ca="1">$T10/$V$14</f>
        <v>6.1817390741670515</v>
      </c>
      <c r="X17" s="238"/>
      <c r="Y17" s="387"/>
      <c r="Z17" s="246"/>
      <c r="AA17" s="246"/>
      <c r="AB17" s="246"/>
      <c r="AC17" s="246"/>
      <c r="AD17" s="246"/>
      <c r="AE17" s="246"/>
      <c r="AF17" s="246"/>
      <c r="AG17" s="246"/>
      <c r="AH17" s="246"/>
      <c r="AI17" s="246"/>
      <c r="AJ17" s="246"/>
      <c r="AK17" s="246"/>
      <c r="AL17" s="246"/>
      <c r="AM17" s="246"/>
      <c r="AN17" s="246"/>
      <c r="AO17" s="246"/>
      <c r="AP17" s="246"/>
      <c r="AQ17" s="246"/>
      <c r="AS17" s="232">
        <f ca="1">IF(AS16&lt;$D$14,AS16+1,"")</f>
        <v>13</v>
      </c>
      <c r="AT17" s="278">
        <f ca="1">IF(ISNUMBER(AS17),AW16,0)</f>
        <v>106.38297872340425</v>
      </c>
      <c r="AU17" s="278"/>
      <c r="AV17" s="278">
        <f t="shared" ca="1" si="2"/>
        <v>20.212765957446809</v>
      </c>
      <c r="AW17" s="278">
        <f t="shared" ca="1" si="6"/>
        <v>106.38297872340425</v>
      </c>
      <c r="AX17" s="232">
        <f ca="1">IF(ISNUMBER(AS18),SUM(AU17:AV17),SUM(AU17:AW17))</f>
        <v>20.212765957446809</v>
      </c>
      <c r="AY17" s="279">
        <f t="shared" ca="1" si="0"/>
        <v>6.8306303745020891E-2</v>
      </c>
      <c r="AZ17" s="232">
        <f t="shared" ca="1" si="4"/>
        <v>3.6224291259647226E-2</v>
      </c>
      <c r="BA17" s="232"/>
    </row>
    <row r="18" spans="1:54" ht="30.75" customHeight="1" x14ac:dyDescent="0.2">
      <c r="A18" s="246"/>
      <c r="B18" s="597"/>
      <c r="C18" s="238"/>
      <c r="D18" s="238"/>
      <c r="E18" s="235"/>
      <c r="F18" s="310" t="s">
        <v>372</v>
      </c>
      <c r="G18" s="308">
        <f ca="1">Summary!$AH$19</f>
        <v>0.3</v>
      </c>
      <c r="H18" s="238"/>
      <c r="I18" s="307" t="s">
        <v>229</v>
      </c>
      <c r="J18" s="306">
        <f ca="1">Summary!$AN$19</f>
        <v>1</v>
      </c>
      <c r="K18" s="316"/>
      <c r="L18" s="312" t="s">
        <v>78</v>
      </c>
      <c r="M18" s="137">
        <f ca="1">Summary!$AS$19</f>
        <v>2</v>
      </c>
      <c r="N18" s="244"/>
      <c r="O18" s="238"/>
      <c r="P18" s="238"/>
      <c r="Q18" s="459"/>
      <c r="R18" s="413" t="s">
        <v>128</v>
      </c>
      <c r="S18" s="490">
        <f ca="1">$T11/$T$9</f>
        <v>1.0930183249976286</v>
      </c>
      <c r="T18" s="612">
        <f ca="1">$T11/$T$10</f>
        <v>1.8408557869263409</v>
      </c>
      <c r="U18" s="613"/>
      <c r="V18" s="490">
        <f ca="1">$T11/$T$11</f>
        <v>1</v>
      </c>
      <c r="W18" s="491">
        <f ca="1">$T11/$V$14</f>
        <v>11.379690147949098</v>
      </c>
      <c r="X18" s="238"/>
      <c r="Y18" s="246"/>
      <c r="Z18" s="246"/>
      <c r="AA18" s="246"/>
      <c r="AB18" s="246"/>
      <c r="AC18" s="246"/>
      <c r="AD18" s="246"/>
      <c r="AE18" s="246"/>
      <c r="AF18" s="246"/>
      <c r="AG18" s="246"/>
      <c r="AH18" s="246"/>
      <c r="AI18" s="246"/>
      <c r="AJ18" s="246"/>
      <c r="AK18" s="246"/>
      <c r="AL18" s="246"/>
      <c r="AM18" s="246"/>
      <c r="AN18" s="246"/>
      <c r="AO18" s="246"/>
      <c r="AP18" s="246"/>
      <c r="AQ18" s="246"/>
      <c r="AS18" s="232">
        <f ca="1">IF(AS17&lt;$D$14,AS17+1,"")</f>
        <v>14</v>
      </c>
      <c r="AT18" s="278">
        <f ca="1">IF(ISNUMBER(AS18),AW17,0)</f>
        <v>106.38297872340425</v>
      </c>
      <c r="AU18" s="278"/>
      <c r="AV18" s="278">
        <f t="shared" ca="1" si="2"/>
        <v>20.212765957446809</v>
      </c>
      <c r="AW18" s="278">
        <f t="shared" ca="1" si="6"/>
        <v>106.38297872340425</v>
      </c>
      <c r="AX18" s="232">
        <f ca="1">IF(ISNUMBER(AS19),SUM(AU18:AV18),SUM(AU18:AW18))</f>
        <v>20.212765957446809</v>
      </c>
      <c r="AY18" s="279">
        <f t="shared" ca="1" si="0"/>
        <v>6.8306303745020891E-2</v>
      </c>
      <c r="AZ18" s="232">
        <f t="shared" ca="1" si="4"/>
        <v>3.4499325009187842E-2</v>
      </c>
      <c r="BA18" s="232"/>
    </row>
    <row r="19" spans="1:54" ht="21" customHeight="1" thickBot="1" x14ac:dyDescent="0.25">
      <c r="A19" s="246"/>
      <c r="B19" s="302"/>
      <c r="C19" s="239"/>
      <c r="D19" s="239"/>
      <c r="E19" s="239"/>
      <c r="F19" s="303"/>
      <c r="G19" s="304"/>
      <c r="H19" s="239"/>
      <c r="I19" s="239"/>
      <c r="J19" s="239"/>
      <c r="K19" s="239"/>
      <c r="L19" s="319"/>
      <c r="M19" s="239"/>
      <c r="N19" s="305"/>
      <c r="O19" s="238"/>
      <c r="P19" s="246"/>
      <c r="Q19" s="469"/>
      <c r="R19" s="414" t="s">
        <v>130</v>
      </c>
      <c r="S19" s="492">
        <f ca="1">$V14/$T$9</f>
        <v>9.6049919706699363E-2</v>
      </c>
      <c r="T19" s="615">
        <f ca="1">$V14/$T$10</f>
        <v>0.16176677598362454</v>
      </c>
      <c r="U19" s="616"/>
      <c r="V19" s="492">
        <f ca="1">$V14/$T$11</f>
        <v>8.7875854878194978E-2</v>
      </c>
      <c r="W19" s="493">
        <f ca="1">$V14/$V$14</f>
        <v>1</v>
      </c>
      <c r="X19" s="238"/>
      <c r="Y19" s="246"/>
      <c r="Z19" s="246"/>
      <c r="AA19" s="246"/>
      <c r="AB19" s="246"/>
      <c r="AC19" s="246"/>
      <c r="AD19" s="246"/>
      <c r="AE19" s="246"/>
      <c r="AF19" s="246"/>
      <c r="AG19" s="246"/>
      <c r="AH19" s="246"/>
      <c r="AI19" s="246"/>
      <c r="AJ19" s="246"/>
      <c r="AK19" s="246"/>
      <c r="AL19" s="246"/>
      <c r="AM19" s="246"/>
      <c r="AN19" s="246"/>
      <c r="AO19" s="246"/>
      <c r="AP19" s="246"/>
      <c r="AQ19" s="246"/>
      <c r="AS19" s="232">
        <f ca="1">IF(AS18&lt;$D$14,AS18+1,"")</f>
        <v>15</v>
      </c>
      <c r="AT19" s="278">
        <f ca="1">IF(ISNUMBER(AS19),AW18,0)</f>
        <v>106.38297872340425</v>
      </c>
      <c r="AU19" s="278"/>
      <c r="AV19" s="278">
        <f t="shared" ca="1" si="2"/>
        <v>20.212765957446809</v>
      </c>
      <c r="AW19" s="278">
        <f t="shared" ca="1" si="6"/>
        <v>106.38297872340425</v>
      </c>
      <c r="AX19" s="232">
        <f t="shared" ca="1" si="7"/>
        <v>20.212765957446809</v>
      </c>
      <c r="AY19" s="279">
        <f t="shared" ca="1" si="0"/>
        <v>6.8306303745020891E-2</v>
      </c>
      <c r="AZ19" s="232">
        <f t="shared" ca="1" si="4"/>
        <v>3.2856500008750317E-2</v>
      </c>
      <c r="BA19" s="232"/>
    </row>
    <row r="20" spans="1:54" ht="9.75" customHeight="1" thickBot="1" x14ac:dyDescent="0.25">
      <c r="A20" s="246"/>
      <c r="B20" s="246"/>
      <c r="C20" s="246"/>
      <c r="D20" s="246"/>
      <c r="E20" s="246"/>
      <c r="F20" s="246"/>
      <c r="G20" s="246"/>
      <c r="H20" s="246"/>
      <c r="I20" s="246"/>
      <c r="J20" s="246"/>
      <c r="K20" s="246"/>
      <c r="L20" s="246"/>
      <c r="M20" s="246"/>
      <c r="N20" s="246"/>
      <c r="O20" s="246"/>
      <c r="P20" s="246"/>
      <c r="Q20" s="238"/>
      <c r="R20" s="238"/>
      <c r="S20" s="238"/>
      <c r="T20" s="238"/>
      <c r="U20" s="238"/>
      <c r="V20" s="238"/>
      <c r="W20" s="238"/>
      <c r="Y20" s="246"/>
      <c r="Z20" s="246"/>
      <c r="AA20" s="246"/>
      <c r="AB20" s="246"/>
      <c r="AC20" s="246"/>
      <c r="AD20" s="246"/>
      <c r="AE20" s="246"/>
      <c r="AF20" s="246"/>
      <c r="AG20" s="246"/>
      <c r="AH20" s="246"/>
      <c r="AI20" s="246"/>
      <c r="AJ20" s="246"/>
      <c r="AK20" s="246"/>
      <c r="AL20" s="246"/>
      <c r="AM20" s="246"/>
      <c r="AN20" s="246"/>
      <c r="AO20" s="246"/>
      <c r="AP20" s="246"/>
      <c r="AQ20" s="246"/>
      <c r="AS20" s="232">
        <f t="shared" ca="1" si="1"/>
        <v>16</v>
      </c>
      <c r="AT20" s="278">
        <f t="shared" ca="1" si="5"/>
        <v>106.38297872340425</v>
      </c>
      <c r="AU20" s="278"/>
      <c r="AV20" s="278">
        <f t="shared" ca="1" si="2"/>
        <v>20.212765957446809</v>
      </c>
      <c r="AW20" s="278">
        <f t="shared" ca="1" si="6"/>
        <v>106.38297872340425</v>
      </c>
      <c r="AX20" s="232">
        <f ca="1">IF(ISNUMBER(AS21),SUM(AU20:AV20),SUM(AU20:AW20))</f>
        <v>20.212765957446809</v>
      </c>
      <c r="AY20" s="279">
        <f t="shared" ca="1" si="0"/>
        <v>6.8306303745020891E-2</v>
      </c>
      <c r="AZ20" s="232">
        <f t="shared" ca="1" si="4"/>
        <v>3.1291904770238403E-2</v>
      </c>
      <c r="BA20" s="232"/>
    </row>
    <row r="21" spans="1:54" ht="10.5" customHeight="1" x14ac:dyDescent="0.2">
      <c r="A21" s="246"/>
      <c r="B21" s="246"/>
      <c r="C21" s="246"/>
      <c r="D21" s="246"/>
      <c r="E21" s="238"/>
      <c r="F21" s="617" t="s">
        <v>562</v>
      </c>
      <c r="G21" s="257" t="s">
        <v>561</v>
      </c>
      <c r="H21" s="258"/>
      <c r="I21" s="487">
        <f ca="1">T9</f>
        <v>5.0607416626175392E-2</v>
      </c>
      <c r="J21" s="259"/>
      <c r="K21" s="260"/>
      <c r="L21" s="263"/>
      <c r="M21" s="263"/>
      <c r="N21" s="263"/>
      <c r="O21" s="263"/>
      <c r="P21" s="238"/>
      <c r="Q21" s="557" t="s">
        <v>285</v>
      </c>
      <c r="R21" s="621" t="s">
        <v>243</v>
      </c>
      <c r="S21" s="622"/>
      <c r="T21" s="355"/>
      <c r="U21" s="625" t="s">
        <v>281</v>
      </c>
      <c r="V21" s="625"/>
      <c r="W21" s="626"/>
      <c r="Y21" s="246"/>
      <c r="Z21" s="246"/>
      <c r="AA21" s="246"/>
      <c r="AB21" s="246"/>
      <c r="AC21" s="246"/>
      <c r="AD21" s="246"/>
      <c r="AE21" s="246"/>
      <c r="AF21" s="246"/>
      <c r="AG21" s="246"/>
      <c r="AH21" s="246"/>
      <c r="AI21" s="246"/>
      <c r="AJ21" s="246"/>
      <c r="AK21" s="246"/>
      <c r="AL21" s="246"/>
      <c r="AM21" s="246"/>
      <c r="AN21" s="246"/>
      <c r="AO21" s="246"/>
      <c r="AP21" s="246"/>
      <c r="AQ21" s="246"/>
      <c r="AS21" s="232">
        <f ca="1">IF(AS20&lt;$D$14,AS20+1,"")</f>
        <v>17</v>
      </c>
      <c r="AT21" s="278">
        <f ca="1">IF(ISNUMBER(AS21),AW20,0)</f>
        <v>106.38297872340425</v>
      </c>
      <c r="AU21" s="278"/>
      <c r="AV21" s="278">
        <f t="shared" ca="1" si="2"/>
        <v>20.212765957446809</v>
      </c>
      <c r="AW21" s="278">
        <f t="shared" ca="1" si="6"/>
        <v>106.38297872340425</v>
      </c>
      <c r="AX21" s="232">
        <f t="shared" ca="1" si="7"/>
        <v>20.212765957446809</v>
      </c>
      <c r="AY21" s="279">
        <f t="shared" ca="1" si="0"/>
        <v>6.8306303745020891E-2</v>
      </c>
      <c r="AZ21" s="232">
        <f t="shared" ca="1" si="4"/>
        <v>2.9801814066893712E-2</v>
      </c>
      <c r="BA21" s="232"/>
    </row>
    <row r="22" spans="1:54" ht="12" customHeight="1" thickBot="1" x14ac:dyDescent="0.25">
      <c r="A22" s="246"/>
      <c r="B22" s="246"/>
      <c r="C22" s="246"/>
      <c r="D22" s="246"/>
      <c r="E22" s="238"/>
      <c r="F22" s="618"/>
      <c r="G22" s="261" t="s">
        <v>560</v>
      </c>
      <c r="H22" s="262"/>
      <c r="I22" s="488">
        <f ca="1">T10</f>
        <v>3.0048434074000992E-2</v>
      </c>
      <c r="J22" s="263"/>
      <c r="K22" s="264"/>
      <c r="L22" s="263"/>
      <c r="M22" s="263"/>
      <c r="N22" s="263"/>
      <c r="O22" s="263"/>
      <c r="P22" s="238"/>
      <c r="Q22" s="619"/>
      <c r="R22" s="623"/>
      <c r="S22" s="624"/>
      <c r="T22" s="356"/>
      <c r="U22" s="627"/>
      <c r="V22" s="627"/>
      <c r="W22" s="628"/>
      <c r="Y22" s="246"/>
      <c r="Z22" s="246"/>
      <c r="AA22" s="246"/>
      <c r="AB22" s="246"/>
      <c r="AC22" s="246"/>
      <c r="AD22" s="246"/>
      <c r="AE22" s="246"/>
      <c r="AF22" s="246"/>
      <c r="AG22" s="246"/>
      <c r="AH22" s="246"/>
      <c r="AI22" s="246"/>
      <c r="AJ22" s="246"/>
      <c r="AK22" s="246"/>
      <c r="AL22" s="246"/>
      <c r="AM22" s="246"/>
      <c r="AN22" s="246"/>
      <c r="AO22" s="246"/>
      <c r="AP22" s="246"/>
      <c r="AQ22" s="246"/>
      <c r="AS22" s="232">
        <f t="shared" ca="1" si="1"/>
        <v>18</v>
      </c>
      <c r="AT22" s="278">
        <f t="shared" ca="1" si="5"/>
        <v>106.38297872340425</v>
      </c>
      <c r="AU22" s="278"/>
      <c r="AV22" s="278">
        <f t="shared" ca="1" si="2"/>
        <v>20.212765957446809</v>
      </c>
      <c r="AW22" s="278">
        <f t="shared" ca="1" si="6"/>
        <v>106.38297872340425</v>
      </c>
      <c r="AX22" s="232">
        <f t="shared" ca="1" si="7"/>
        <v>20.212765957446809</v>
      </c>
      <c r="AY22" s="279">
        <f t="shared" ca="1" si="0"/>
        <v>6.8306303745020891E-2</v>
      </c>
      <c r="AZ22" s="232">
        <f t="shared" ca="1" si="4"/>
        <v>2.8382680063708296E-2</v>
      </c>
      <c r="BA22" s="232"/>
    </row>
    <row r="23" spans="1:54" ht="10.75" customHeight="1" x14ac:dyDescent="0.2">
      <c r="A23" s="246"/>
      <c r="B23" s="565" t="s">
        <v>410</v>
      </c>
      <c r="C23" s="637"/>
      <c r="D23" s="637"/>
      <c r="E23" s="637"/>
      <c r="F23" s="618"/>
      <c r="G23" s="261" t="s">
        <v>390</v>
      </c>
      <c r="H23" s="262"/>
      <c r="I23" s="488"/>
      <c r="J23" s="263"/>
      <c r="K23" s="264"/>
      <c r="L23" s="263"/>
      <c r="M23" s="263"/>
      <c r="N23" s="263"/>
      <c r="O23" s="263"/>
      <c r="P23" s="238"/>
      <c r="Q23" s="619"/>
      <c r="R23" s="347" t="s">
        <v>566</v>
      </c>
      <c r="S23" s="494">
        <f ca="1">(R37/S37)*T5</f>
        <v>94.846098365436859</v>
      </c>
      <c r="T23" s="495"/>
      <c r="U23" s="496"/>
      <c r="V23" s="496"/>
      <c r="W23" s="497"/>
      <c r="Y23" s="246"/>
      <c r="Z23" s="246"/>
      <c r="AA23" s="246"/>
      <c r="AB23" s="246"/>
      <c r="AC23" s="246"/>
      <c r="AD23" s="246"/>
      <c r="AE23" s="246"/>
      <c r="AF23" s="246"/>
      <c r="AG23" s="246"/>
      <c r="AH23" s="246"/>
      <c r="AI23" s="246"/>
      <c r="AJ23" s="246"/>
      <c r="AK23" s="246"/>
      <c r="AL23" s="246"/>
      <c r="AM23" s="246"/>
      <c r="AN23" s="246"/>
      <c r="AO23" s="246"/>
      <c r="AP23" s="246"/>
      <c r="AQ23" s="246"/>
      <c r="AS23" s="232">
        <f t="shared" ca="1" si="1"/>
        <v>19</v>
      </c>
      <c r="AT23" s="278">
        <f t="shared" ca="1" si="5"/>
        <v>106.38297872340425</v>
      </c>
      <c r="AU23" s="278"/>
      <c r="AV23" s="278">
        <f t="shared" ca="1" si="2"/>
        <v>20.212765957446809</v>
      </c>
      <c r="AW23" s="278">
        <f t="shared" ca="1" si="6"/>
        <v>106.38297872340425</v>
      </c>
      <c r="AX23" s="232">
        <f t="shared" ca="1" si="7"/>
        <v>20.212765957446809</v>
      </c>
      <c r="AY23" s="279">
        <f t="shared" ca="1" si="0"/>
        <v>6.8306303745020891E-2</v>
      </c>
      <c r="AZ23" s="232">
        <f t="shared" ca="1" si="4"/>
        <v>2.7031123870198379E-2</v>
      </c>
      <c r="BA23" s="232"/>
    </row>
    <row r="24" spans="1:54" ht="12.75" customHeight="1" x14ac:dyDescent="0.2">
      <c r="A24" s="246"/>
      <c r="B24" s="638"/>
      <c r="C24" s="639"/>
      <c r="D24" s="639"/>
      <c r="E24" s="639"/>
      <c r="F24" s="618"/>
      <c r="G24" s="261" t="s">
        <v>542</v>
      </c>
      <c r="H24" s="262"/>
      <c r="I24" s="488">
        <f ca="1">V14</f>
        <v>4.8608383035076289E-3</v>
      </c>
      <c r="J24" s="263"/>
      <c r="K24" s="264"/>
      <c r="L24" s="263"/>
      <c r="M24" s="263"/>
      <c r="N24" s="263"/>
      <c r="O24" s="263"/>
      <c r="P24" s="238"/>
      <c r="Q24" s="619"/>
      <c r="R24" s="347" t="s">
        <v>570</v>
      </c>
      <c r="S24" s="494">
        <f ca="1">T9*$R$37</f>
        <v>143.63716105405558</v>
      </c>
      <c r="T24" s="495"/>
      <c r="U24" s="496" t="s">
        <v>570</v>
      </c>
      <c r="V24" s="496"/>
      <c r="W24" s="497">
        <f ca="1">S24/S$23</f>
        <v>1.5144235084993103</v>
      </c>
      <c r="Y24" s="246"/>
      <c r="Z24" s="246"/>
      <c r="AA24" s="246"/>
      <c r="AB24" s="246"/>
      <c r="AC24" s="246"/>
      <c r="AD24" s="246"/>
      <c r="AE24" s="246"/>
      <c r="AF24" s="246"/>
      <c r="AG24" s="246"/>
      <c r="AH24" s="246"/>
      <c r="AI24" s="246"/>
      <c r="AJ24" s="246"/>
      <c r="AK24" s="246"/>
      <c r="AL24" s="246"/>
      <c r="AM24" s="246"/>
      <c r="AN24" s="246"/>
      <c r="AO24" s="246"/>
      <c r="AP24" s="246"/>
      <c r="AQ24" s="246"/>
      <c r="AS24" s="232">
        <f t="shared" ca="1" si="1"/>
        <v>20</v>
      </c>
      <c r="AT24" s="278">
        <f t="shared" ca="1" si="5"/>
        <v>106.38297872340425</v>
      </c>
      <c r="AU24" s="278"/>
      <c r="AV24" s="278">
        <f t="shared" ca="1" si="2"/>
        <v>20.212765957446809</v>
      </c>
      <c r="AW24" s="278">
        <f t="shared" ca="1" si="6"/>
        <v>106.38297872340425</v>
      </c>
      <c r="AX24" s="232">
        <f ca="1">IF(ISNUMBER(AS25),SUM(AU24:AV24),SUM(AU24:AW24))</f>
        <v>126.59574468085106</v>
      </c>
      <c r="AY24" s="279">
        <f t="shared" ca="1" si="0"/>
        <v>0.36655986667788287</v>
      </c>
      <c r="AZ24" s="232">
        <f t="shared" ca="1" si="4"/>
        <v>0.13815255859422332</v>
      </c>
      <c r="BA24" s="232"/>
    </row>
    <row r="25" spans="1:54" ht="14.5" customHeight="1" thickBot="1" x14ac:dyDescent="0.25">
      <c r="A25" s="246"/>
      <c r="B25" s="638"/>
      <c r="C25" s="639"/>
      <c r="D25" s="639"/>
      <c r="E25" s="639"/>
      <c r="F25" s="265" t="s">
        <v>574</v>
      </c>
      <c r="G25" s="266"/>
      <c r="H25" s="266"/>
      <c r="I25" s="267">
        <f ca="1">V14*J37</f>
        <v>1.3898220098523546</v>
      </c>
      <c r="J25" s="263"/>
      <c r="K25" s="264"/>
      <c r="L25" s="263"/>
      <c r="M25" s="263"/>
      <c r="N25" s="263"/>
      <c r="O25" s="263"/>
      <c r="P25" s="238"/>
      <c r="Q25" s="620"/>
      <c r="R25" s="347" t="s">
        <v>560</v>
      </c>
      <c r="S25" s="494">
        <f ca="1">T10*$R$37</f>
        <v>85.285360372990738</v>
      </c>
      <c r="T25" s="495"/>
      <c r="U25" s="496" t="s">
        <v>560</v>
      </c>
      <c r="V25" s="496"/>
      <c r="W25" s="497">
        <f ca="1">S25/S$23</f>
        <v>0.89919735068479978</v>
      </c>
      <c r="Y25" s="246"/>
      <c r="Z25" s="246"/>
      <c r="AA25" s="246"/>
      <c r="AB25" s="246"/>
      <c r="AC25" s="246"/>
      <c r="AD25" s="246"/>
      <c r="AE25" s="246"/>
      <c r="AF25" s="246"/>
      <c r="AG25" s="246"/>
      <c r="AH25" s="246"/>
      <c r="AI25" s="246"/>
      <c r="AJ25" s="246"/>
      <c r="AK25" s="246"/>
      <c r="AL25" s="246"/>
      <c r="AM25" s="246"/>
      <c r="AN25" s="246"/>
      <c r="AO25" s="246"/>
      <c r="AP25" s="246"/>
      <c r="AQ25" s="246"/>
      <c r="AS25" s="232" t="str">
        <f ca="1">IF(AS24&lt;$D$14,AS24+1,"")</f>
        <v/>
      </c>
      <c r="AT25" s="278">
        <f ca="1">IF(ISNUMBER(AS25),AW24,0)</f>
        <v>0</v>
      </c>
      <c r="AU25" s="278"/>
      <c r="AV25" s="278">
        <f t="shared" ca="1" si="2"/>
        <v>0</v>
      </c>
      <c r="AW25" s="278">
        <f t="shared" ca="1" si="6"/>
        <v>0</v>
      </c>
      <c r="AX25" s="232">
        <f t="shared" ca="1" si="7"/>
        <v>0</v>
      </c>
      <c r="AY25" s="279">
        <f t="shared" ca="1" si="0"/>
        <v>0</v>
      </c>
      <c r="AZ25" s="232">
        <f t="shared" ca="1" si="4"/>
        <v>0</v>
      </c>
      <c r="BA25" s="232"/>
    </row>
    <row r="26" spans="1:54" ht="12" customHeight="1" thickBot="1" x14ac:dyDescent="0.25">
      <c r="A26" s="246"/>
      <c r="B26" s="567"/>
      <c r="C26" s="640"/>
      <c r="D26" s="640"/>
      <c r="E26" s="640"/>
      <c r="F26" s="247"/>
      <c r="G26" s="238"/>
      <c r="H26" s="238"/>
      <c r="I26" s="238"/>
      <c r="J26" s="238"/>
      <c r="K26" s="244"/>
      <c r="L26" s="238"/>
      <c r="M26" s="238"/>
      <c r="N26" s="238"/>
      <c r="O26" s="263"/>
      <c r="P26" s="238"/>
      <c r="Q26" s="238"/>
      <c r="R26" s="347" t="s">
        <v>390</v>
      </c>
      <c r="S26" s="494" t="e">
        <f ca="1">T12*$R$37</f>
        <v>#DIV/0!</v>
      </c>
      <c r="T26" s="495"/>
      <c r="U26" s="496" t="s">
        <v>390</v>
      </c>
      <c r="V26" s="496"/>
      <c r="W26" s="497" t="e">
        <f ca="1">S26/S$23</f>
        <v>#DIV/0!</v>
      </c>
      <c r="Y26" s="246"/>
      <c r="Z26" s="246"/>
      <c r="AA26" s="246"/>
      <c r="AB26" s="246"/>
      <c r="AC26" s="246"/>
      <c r="AD26" s="246"/>
      <c r="AE26" s="246"/>
      <c r="AF26" s="246"/>
      <c r="AG26" s="246"/>
      <c r="AH26" s="246"/>
      <c r="AI26" s="246"/>
      <c r="AJ26" s="246"/>
      <c r="AK26" s="246"/>
      <c r="AL26" s="246"/>
      <c r="AM26" s="246"/>
      <c r="AN26" s="246"/>
      <c r="AO26" s="246"/>
      <c r="AP26" s="246"/>
      <c r="AQ26" s="246"/>
      <c r="AS26" s="232" t="str">
        <f t="shared" ca="1" si="1"/>
        <v/>
      </c>
      <c r="AT26" s="278">
        <f t="shared" ca="1" si="5"/>
        <v>0</v>
      </c>
      <c r="AU26" s="278"/>
      <c r="AV26" s="278">
        <f t="shared" ca="1" si="2"/>
        <v>0</v>
      </c>
      <c r="AW26" s="278">
        <f t="shared" ca="1" si="6"/>
        <v>0</v>
      </c>
      <c r="AX26" s="232">
        <f t="shared" ca="1" si="7"/>
        <v>0</v>
      </c>
      <c r="AY26" s="279">
        <f t="shared" ca="1" si="0"/>
        <v>0</v>
      </c>
      <c r="AZ26" s="232">
        <f t="shared" ca="1" si="4"/>
        <v>0</v>
      </c>
      <c r="BA26" s="232"/>
    </row>
    <row r="27" spans="1:54" ht="12.75" customHeight="1" x14ac:dyDescent="0.2">
      <c r="A27" s="246"/>
      <c r="B27" s="246"/>
      <c r="C27" s="246"/>
      <c r="D27" s="246"/>
      <c r="E27" s="238"/>
      <c r="F27" s="268" t="s">
        <v>282</v>
      </c>
      <c r="G27" s="489">
        <f ca="1">I21/I$24</f>
        <v>10.411252846994845</v>
      </c>
      <c r="H27" s="269" t="s">
        <v>568</v>
      </c>
      <c r="I27" s="266"/>
      <c r="J27" s="266"/>
      <c r="K27" s="270"/>
      <c r="L27" s="238"/>
      <c r="M27" s="238"/>
      <c r="N27" s="238"/>
      <c r="O27" s="263"/>
      <c r="P27" s="238"/>
      <c r="R27" s="347" t="s">
        <v>542</v>
      </c>
      <c r="S27" s="494">
        <f ca="1">V14*$R$37</f>
        <v>13.796337786140283</v>
      </c>
      <c r="T27" s="495"/>
      <c r="U27" s="496" t="s">
        <v>542</v>
      </c>
      <c r="V27" s="496"/>
      <c r="W27" s="497">
        <f ca="1">S27/S$23</f>
        <v>0.14546025639329668</v>
      </c>
      <c r="Y27" s="246"/>
      <c r="Z27" s="246"/>
      <c r="AA27" s="246"/>
      <c r="AB27" s="246"/>
      <c r="AC27" s="246"/>
      <c r="AD27" s="246"/>
      <c r="AE27" s="246"/>
      <c r="AF27" s="246"/>
      <c r="AG27" s="246"/>
      <c r="AH27" s="246"/>
      <c r="AI27" s="246"/>
      <c r="AJ27" s="246"/>
      <c r="AK27" s="246"/>
      <c r="AL27" s="246"/>
      <c r="AM27" s="246"/>
      <c r="AN27" s="246"/>
      <c r="AO27" s="246"/>
      <c r="AP27" s="246"/>
      <c r="AQ27" s="246"/>
      <c r="AS27" s="232" t="str">
        <f t="shared" ca="1" si="1"/>
        <v/>
      </c>
      <c r="AT27" s="278">
        <f t="shared" ca="1" si="5"/>
        <v>0</v>
      </c>
      <c r="AU27" s="278"/>
      <c r="AV27" s="278">
        <f t="shared" ca="1" si="2"/>
        <v>0</v>
      </c>
      <c r="AW27" s="278">
        <f t="shared" ca="1" si="6"/>
        <v>0</v>
      </c>
      <c r="AX27" s="232">
        <f t="shared" ca="1" si="7"/>
        <v>0</v>
      </c>
      <c r="AY27" s="279">
        <f t="shared" ca="1" si="0"/>
        <v>0</v>
      </c>
      <c r="AZ27" s="232">
        <f t="shared" ca="1" si="4"/>
        <v>0</v>
      </c>
      <c r="BA27" s="288"/>
      <c r="BB27" s="246"/>
    </row>
    <row r="28" spans="1:54" s="246" customFormat="1" ht="14.5" customHeight="1" x14ac:dyDescent="0.2">
      <c r="E28" s="238"/>
      <c r="F28" s="268" t="s">
        <v>569</v>
      </c>
      <c r="G28" s="489">
        <f ca="1">I22/I$24</f>
        <v>6.1817390741670515</v>
      </c>
      <c r="H28" s="269" t="s">
        <v>568</v>
      </c>
      <c r="I28" s="266"/>
      <c r="J28" s="266"/>
      <c r="K28" s="270"/>
      <c r="L28" s="238"/>
      <c r="M28" s="238"/>
      <c r="N28" s="238"/>
      <c r="O28" s="263"/>
      <c r="P28" s="238"/>
      <c r="R28" s="345" t="s">
        <v>247</v>
      </c>
      <c r="S28" s="498"/>
      <c r="T28" s="495"/>
      <c r="U28" s="495"/>
      <c r="V28" s="495"/>
      <c r="W28" s="499" t="s">
        <v>280</v>
      </c>
      <c r="AS28" s="232" t="str">
        <f t="shared" ca="1" si="1"/>
        <v/>
      </c>
      <c r="AT28" s="278">
        <f t="shared" ca="1" si="5"/>
        <v>0</v>
      </c>
      <c r="AU28" s="278"/>
      <c r="AV28" s="278">
        <f t="shared" ca="1" si="2"/>
        <v>0</v>
      </c>
      <c r="AW28" s="278">
        <f t="shared" ca="1" si="6"/>
        <v>0</v>
      </c>
      <c r="AX28" s="232">
        <f ca="1">IF(ISNUMBER(AS29),SUM(AU28:AV28),SUM(AU28:AW28))</f>
        <v>0</v>
      </c>
      <c r="AY28" s="279">
        <f t="shared" ca="1" si="0"/>
        <v>0</v>
      </c>
      <c r="AZ28" s="232">
        <f t="shared" ca="1" si="4"/>
        <v>0</v>
      </c>
      <c r="BA28" s="232"/>
      <c r="BB28" s="233"/>
    </row>
    <row r="29" spans="1:54" ht="13.75" customHeight="1" x14ac:dyDescent="0.2">
      <c r="A29" s="246"/>
      <c r="B29" s="246"/>
      <c r="C29" s="246"/>
      <c r="D29" s="246"/>
      <c r="E29" s="238"/>
      <c r="F29" s="268" t="s">
        <v>407</v>
      </c>
      <c r="G29" s="489"/>
      <c r="H29" s="269" t="s">
        <v>568</v>
      </c>
      <c r="I29" s="266"/>
      <c r="J29" s="266"/>
      <c r="K29" s="270"/>
      <c r="L29" s="238"/>
      <c r="M29" s="238"/>
      <c r="N29" s="238"/>
      <c r="O29" s="263"/>
      <c r="P29" s="238"/>
      <c r="Q29" s="344"/>
      <c r="R29" s="346" t="s">
        <v>570</v>
      </c>
      <c r="S29" s="494">
        <f ca="1">IFERROR(IF(S24-S$23&gt;0,S24-S$23,"N/A"),"N/A")</f>
        <v>48.791062688618723</v>
      </c>
      <c r="T29" s="500"/>
      <c r="U29" s="496"/>
      <c r="V29" s="496"/>
      <c r="W29" s="501" t="str">
        <f ca="1">IF(AND(S29&lt;&gt;"N/A",S29&gt;=$W$33),R29,"Bednets")</f>
        <v>Bednets</v>
      </c>
      <c r="Y29" s="246"/>
      <c r="Z29" s="246"/>
      <c r="AA29" s="246"/>
      <c r="AB29" s="246"/>
      <c r="AC29" s="246"/>
      <c r="AD29" s="246"/>
      <c r="AE29" s="246"/>
      <c r="AF29" s="246"/>
      <c r="AG29" s="246"/>
      <c r="AH29" s="246"/>
      <c r="AI29" s="246"/>
      <c r="AJ29" s="246"/>
      <c r="AK29" s="246"/>
      <c r="AL29" s="246"/>
      <c r="AM29" s="246"/>
      <c r="AN29" s="246"/>
      <c r="AO29" s="246"/>
      <c r="AP29" s="246"/>
      <c r="AQ29" s="246"/>
      <c r="AS29" s="232" t="str">
        <f ca="1">IF(AS28&lt;$D$14,AS28+1,"")</f>
        <v/>
      </c>
      <c r="AT29" s="278">
        <f ca="1">IF(ISNUMBER(AS29),AW28,0)</f>
        <v>0</v>
      </c>
      <c r="AU29" s="278"/>
      <c r="AV29" s="278">
        <f t="shared" ca="1" si="2"/>
        <v>0</v>
      </c>
      <c r="AW29" s="278">
        <f t="shared" ca="1" si="6"/>
        <v>0</v>
      </c>
      <c r="AX29" s="232">
        <f t="shared" ca="1" si="7"/>
        <v>0</v>
      </c>
      <c r="AY29" s="279">
        <f t="shared" ca="1" si="0"/>
        <v>0</v>
      </c>
      <c r="AZ29" s="232">
        <f t="shared" ca="1" si="4"/>
        <v>0</v>
      </c>
      <c r="BA29" s="232"/>
    </row>
    <row r="30" spans="1:54" ht="13.5" customHeight="1" x14ac:dyDescent="0.2">
      <c r="A30" s="246"/>
      <c r="B30" s="246"/>
      <c r="C30" s="246"/>
      <c r="D30" s="246"/>
      <c r="E30" s="238"/>
      <c r="F30" s="247"/>
      <c r="G30" s="238"/>
      <c r="H30" s="238"/>
      <c r="I30" s="238"/>
      <c r="J30" s="263"/>
      <c r="K30" s="264"/>
      <c r="L30" s="238"/>
      <c r="M30" s="238"/>
      <c r="N30" s="238"/>
      <c r="O30" s="263"/>
      <c r="P30" s="238"/>
      <c r="Q30" s="344"/>
      <c r="R30" s="346" t="s">
        <v>560</v>
      </c>
      <c r="S30" s="494" t="str">
        <f ca="1">IFERROR(IF(S25-S$23&gt;0,S25-S$23,"N/A"),"N/A")</f>
        <v>N/A</v>
      </c>
      <c r="T30" s="500"/>
      <c r="U30" s="496"/>
      <c r="V30" s="496"/>
      <c r="W30" s="501" t="str">
        <f ca="1">IF(AND(S30&lt;&gt;"N/A",S30&gt;=$W$33),R30,"Bednets")</f>
        <v>Bednets</v>
      </c>
      <c r="Y30" s="246"/>
      <c r="Z30" s="246"/>
      <c r="AA30" s="246"/>
      <c r="AB30" s="246"/>
      <c r="AC30" s="246"/>
      <c r="AD30" s="246"/>
      <c r="AE30" s="246"/>
      <c r="AF30" s="246"/>
      <c r="AG30" s="246"/>
      <c r="AH30" s="246"/>
      <c r="AI30" s="246"/>
      <c r="AJ30" s="246"/>
      <c r="AK30" s="246"/>
      <c r="AL30" s="246"/>
      <c r="AM30" s="246"/>
      <c r="AN30" s="246"/>
      <c r="AO30" s="246"/>
      <c r="AP30" s="246"/>
      <c r="AQ30" s="246"/>
      <c r="AS30" s="232" t="str">
        <f t="shared" ca="1" si="1"/>
        <v/>
      </c>
      <c r="AT30" s="278">
        <f t="shared" ca="1" si="5"/>
        <v>0</v>
      </c>
      <c r="AU30" s="278"/>
      <c r="AV30" s="278">
        <f t="shared" ca="1" si="2"/>
        <v>0</v>
      </c>
      <c r="AW30" s="278">
        <f t="shared" ca="1" si="6"/>
        <v>0</v>
      </c>
      <c r="AX30" s="232">
        <f ca="1">IF(ISNUMBER(AS33),SUM(AU30:AV30),SUM(AU30:AW30))</f>
        <v>0</v>
      </c>
      <c r="AY30" s="279">
        <f t="shared" ca="1" si="0"/>
        <v>0</v>
      </c>
      <c r="AZ30" s="232">
        <f t="shared" ca="1" si="4"/>
        <v>0</v>
      </c>
      <c r="BA30" s="232"/>
    </row>
    <row r="31" spans="1:54" ht="13.5" customHeight="1" x14ac:dyDescent="0.2">
      <c r="A31" s="246"/>
      <c r="B31" s="246"/>
      <c r="C31" s="246"/>
      <c r="D31" s="246"/>
      <c r="E31" s="238"/>
      <c r="F31" s="618" t="s">
        <v>446</v>
      </c>
      <c r="G31" s="261" t="s">
        <v>570</v>
      </c>
      <c r="H31" s="262"/>
      <c r="I31" s="431">
        <f ca="1">V9</f>
        <v>2165.1964732640622</v>
      </c>
      <c r="J31" s="263"/>
      <c r="K31" s="264"/>
      <c r="L31" s="238"/>
      <c r="M31" s="238"/>
      <c r="N31" s="238"/>
      <c r="O31" s="263"/>
      <c r="P31" s="238"/>
      <c r="Q31" s="286"/>
      <c r="R31" s="346" t="s">
        <v>390</v>
      </c>
      <c r="S31" s="494" t="str">
        <f ca="1">IFERROR(IF(S26-S$23&gt;0,S26-S$23,"N/A"),"N/A")</f>
        <v>N/A</v>
      </c>
      <c r="T31" s="500"/>
      <c r="U31" s="496"/>
      <c r="V31" s="496"/>
      <c r="W31" s="501" t="str">
        <f ca="1">IF(AND(S31&lt;&gt;"N/A",S31&gt;=$W$33),R31,"Bednets")</f>
        <v>Bednets</v>
      </c>
      <c r="Y31" s="246"/>
      <c r="Z31" s="246"/>
      <c r="AA31" s="246"/>
      <c r="AB31" s="246"/>
      <c r="AC31" s="246"/>
      <c r="AD31" s="246"/>
      <c r="AE31" s="246"/>
      <c r="AF31" s="246"/>
      <c r="AG31" s="246"/>
      <c r="AH31" s="246"/>
      <c r="AI31" s="246"/>
      <c r="AJ31" s="246"/>
      <c r="AK31" s="246"/>
      <c r="AL31" s="246"/>
      <c r="AM31" s="246"/>
      <c r="AN31" s="246"/>
      <c r="AO31" s="246"/>
      <c r="AP31" s="246"/>
      <c r="AQ31" s="246"/>
      <c r="AS31" s="232"/>
      <c r="AT31" s="278"/>
      <c r="AU31" s="278"/>
      <c r="AV31" s="278"/>
      <c r="AW31" s="278"/>
      <c r="AX31" s="232"/>
      <c r="AY31" s="279"/>
      <c r="AZ31" s="232"/>
      <c r="BA31" s="232"/>
    </row>
    <row r="32" spans="1:54" ht="13.5" customHeight="1" x14ac:dyDescent="0.2">
      <c r="A32" s="246"/>
      <c r="B32" s="246"/>
      <c r="C32" s="246"/>
      <c r="D32" s="246"/>
      <c r="E32" s="238"/>
      <c r="F32" s="618"/>
      <c r="G32" s="261" t="s">
        <v>560</v>
      </c>
      <c r="H32" s="262"/>
      <c r="I32" s="431">
        <f ca="1">V10</f>
        <v>3646.6126564248593</v>
      </c>
      <c r="J32" s="263"/>
      <c r="K32" s="264"/>
      <c r="L32" s="263"/>
      <c r="M32" s="263"/>
      <c r="N32" s="263"/>
      <c r="O32" s="263"/>
      <c r="P32" s="238"/>
      <c r="Q32" s="286"/>
      <c r="R32" s="352"/>
      <c r="S32" s="353"/>
      <c r="T32" s="353"/>
      <c r="U32" s="353"/>
      <c r="V32" s="353"/>
      <c r="W32" s="354"/>
      <c r="Y32" s="246"/>
      <c r="Z32" s="246"/>
      <c r="AA32" s="246"/>
      <c r="AB32" s="246"/>
      <c r="AC32" s="246"/>
      <c r="AD32" s="246"/>
      <c r="AE32" s="246"/>
      <c r="AF32" s="246"/>
      <c r="AG32" s="246"/>
      <c r="AH32" s="246"/>
      <c r="AI32" s="246"/>
      <c r="AJ32" s="246"/>
      <c r="AK32" s="246"/>
      <c r="AL32" s="246"/>
      <c r="AM32" s="246"/>
      <c r="AN32" s="246"/>
      <c r="AO32" s="246"/>
      <c r="AP32" s="246"/>
      <c r="AQ32" s="246"/>
      <c r="AS32" s="232"/>
      <c r="AT32" s="278"/>
      <c r="AU32" s="278"/>
      <c r="AV32" s="278"/>
      <c r="AW32" s="278"/>
      <c r="AX32" s="232"/>
      <c r="AY32" s="279"/>
      <c r="AZ32" s="232"/>
      <c r="BA32" s="232"/>
    </row>
    <row r="33" spans="1:53" ht="13.75" customHeight="1" thickBot="1" x14ac:dyDescent="0.25">
      <c r="A33" s="246"/>
      <c r="B33" s="246"/>
      <c r="C33" s="246"/>
      <c r="D33" s="246"/>
      <c r="E33" s="246"/>
      <c r="F33" s="618"/>
      <c r="G33" s="261" t="s">
        <v>566</v>
      </c>
      <c r="H33" s="262"/>
      <c r="I33" s="431">
        <f ca="1">V11</f>
        <v>1980.9333693181763</v>
      </c>
      <c r="J33" s="238"/>
      <c r="K33" s="244"/>
      <c r="L33" s="238"/>
      <c r="M33" s="238"/>
      <c r="N33" s="238"/>
      <c r="O33" s="238"/>
      <c r="P33" s="246"/>
      <c r="Q33" s="286"/>
      <c r="R33" s="642" t="s">
        <v>248</v>
      </c>
      <c r="S33" s="643"/>
      <c r="T33" s="643"/>
      <c r="U33" s="643"/>
      <c r="V33" s="643"/>
      <c r="W33" s="502">
        <f ca="1">$G$10*U37</f>
        <v>109.57500000000002</v>
      </c>
      <c r="X33" s="286"/>
      <c r="Y33" s="286"/>
      <c r="Z33" s="246"/>
      <c r="AA33" s="246"/>
      <c r="AB33" s="246"/>
      <c r="AC33" s="246"/>
      <c r="AD33" s="246"/>
      <c r="AE33" s="246"/>
      <c r="AF33" s="246"/>
      <c r="AG33" s="246"/>
      <c r="AH33" s="246"/>
      <c r="AI33" s="246"/>
      <c r="AJ33" s="246"/>
      <c r="AK33" s="246"/>
      <c r="AL33" s="246"/>
      <c r="AM33" s="246"/>
      <c r="AN33" s="246"/>
      <c r="AO33" s="246"/>
      <c r="AP33" s="246"/>
      <c r="AQ33" s="246"/>
      <c r="AS33" s="232" t="str">
        <f ca="1">IF(AS30&lt;$D$14,AS30+1,"")</f>
        <v/>
      </c>
      <c r="AT33" s="278">
        <f ca="1">IF(ISNUMBER(AS33),AW30,0)</f>
        <v>0</v>
      </c>
      <c r="AU33" s="278"/>
      <c r="AV33" s="278">
        <f t="shared" ca="1" si="2"/>
        <v>0</v>
      </c>
      <c r="AW33" s="278">
        <f t="shared" ca="1" si="6"/>
        <v>0</v>
      </c>
      <c r="AX33" s="232">
        <f ca="1">IF(ISNUMBER(AS35),SUM(AU33:AV33),SUM(AU33:AW33))</f>
        <v>0</v>
      </c>
      <c r="AY33" s="279">
        <f ca="1">LN(AX33+$J$37)-LN($J$37)</f>
        <v>0</v>
      </c>
      <c r="AZ33" s="232">
        <f t="shared" ca="1" si="4"/>
        <v>0</v>
      </c>
    </row>
    <row r="34" spans="1:53" ht="13.75" customHeight="1" thickBot="1" x14ac:dyDescent="0.25">
      <c r="A34" s="246"/>
      <c r="B34" s="246"/>
      <c r="C34" s="246"/>
      <c r="D34" s="246"/>
      <c r="E34" s="246"/>
      <c r="F34" s="641"/>
      <c r="G34" s="289" t="s">
        <v>390</v>
      </c>
      <c r="H34" s="290"/>
      <c r="I34" s="432" t="str">
        <f>V12</f>
        <v>-</v>
      </c>
      <c r="J34" s="239"/>
      <c r="K34" s="325"/>
      <c r="L34" s="238"/>
      <c r="M34" s="238"/>
      <c r="N34" s="238"/>
      <c r="O34" s="238"/>
      <c r="P34" s="246"/>
      <c r="Q34" s="286"/>
      <c r="R34" s="378"/>
      <c r="S34" s="378"/>
      <c r="T34" s="378"/>
      <c r="U34" s="378"/>
      <c r="V34" s="378"/>
      <c r="W34" s="287"/>
      <c r="X34" s="287"/>
      <c r="Y34" s="286"/>
      <c r="Z34" s="246"/>
      <c r="AA34" s="246"/>
      <c r="AB34" s="246"/>
      <c r="AC34" s="246"/>
      <c r="AD34" s="246"/>
      <c r="AE34" s="246"/>
      <c r="AF34" s="246"/>
      <c r="AG34" s="246"/>
      <c r="AH34" s="246"/>
      <c r="AI34" s="246"/>
      <c r="AJ34" s="246"/>
      <c r="AK34" s="246"/>
      <c r="AL34" s="246"/>
      <c r="AM34" s="246"/>
      <c r="AN34" s="246"/>
      <c r="AO34" s="246"/>
      <c r="AP34" s="246"/>
      <c r="AQ34" s="246"/>
      <c r="AS34" s="232"/>
      <c r="AT34" s="278"/>
      <c r="AU34" s="278"/>
      <c r="AV34" s="278"/>
      <c r="AW34" s="278"/>
      <c r="AX34" s="232"/>
      <c r="AY34" s="279"/>
      <c r="AZ34" s="232"/>
    </row>
    <row r="35" spans="1:53" ht="51" customHeight="1" thickBot="1" x14ac:dyDescent="0.25">
      <c r="B35" s="246"/>
      <c r="C35" s="246"/>
      <c r="D35" s="246"/>
      <c r="E35" s="246"/>
      <c r="F35" s="246"/>
      <c r="G35" s="246"/>
      <c r="H35" s="246"/>
      <c r="I35" s="309"/>
      <c r="J35" s="309"/>
      <c r="K35" s="246"/>
      <c r="L35" s="246"/>
      <c r="M35" s="246"/>
      <c r="N35" s="246"/>
      <c r="O35" s="246"/>
      <c r="P35" s="246"/>
      <c r="Q35" s="286"/>
      <c r="R35" s="286"/>
      <c r="S35" s="286"/>
      <c r="T35" s="286"/>
      <c r="U35" s="286"/>
      <c r="W35" s="246"/>
      <c r="Y35" s="286"/>
      <c r="Z35" s="246"/>
      <c r="AA35" s="246"/>
      <c r="AB35" s="246"/>
      <c r="AC35" s="246"/>
      <c r="AD35" s="246"/>
      <c r="AE35" s="246"/>
      <c r="AF35" s="246"/>
      <c r="AG35" s="246"/>
      <c r="AH35" s="246"/>
      <c r="AI35" s="246"/>
      <c r="AJ35" s="246"/>
      <c r="AK35" s="246"/>
      <c r="AL35" s="246"/>
      <c r="AM35" s="246"/>
      <c r="AN35" s="246"/>
      <c r="AR35" s="232"/>
      <c r="AS35" s="232" t="str">
        <f ca="1">IF(AS33&lt;$D$14,AS33+1,"")</f>
        <v/>
      </c>
      <c r="AT35" s="278">
        <f ca="1">IF(ISNUMBER(AS35),AW33,0)</f>
        <v>0</v>
      </c>
      <c r="AU35" s="278"/>
      <c r="AV35" s="278">
        <f t="shared" ca="1" si="2"/>
        <v>0</v>
      </c>
      <c r="AW35" s="278">
        <f t="shared" ca="1" si="6"/>
        <v>0</v>
      </c>
      <c r="AX35" s="232">
        <f t="shared" ca="1" si="7"/>
        <v>0</v>
      </c>
      <c r="AY35" s="279">
        <f ca="1">LN(AX35+$J$37)-LN($J$37)</f>
        <v>0</v>
      </c>
      <c r="AZ35" s="232">
        <f t="shared" ca="1" si="4"/>
        <v>0</v>
      </c>
    </row>
    <row r="36" spans="1:53" ht="31.5" customHeight="1" x14ac:dyDescent="0.2">
      <c r="A36" s="246"/>
      <c r="B36" s="644" t="s">
        <v>557</v>
      </c>
      <c r="C36" s="248"/>
      <c r="D36" s="647" t="s">
        <v>552</v>
      </c>
      <c r="E36" s="648"/>
      <c r="F36" s="649"/>
      <c r="G36" s="250" t="s">
        <v>544</v>
      </c>
      <c r="H36" s="647" t="s">
        <v>555</v>
      </c>
      <c r="I36" s="649"/>
      <c r="J36" s="647" t="s">
        <v>554</v>
      </c>
      <c r="K36" s="648"/>
      <c r="L36" s="648"/>
      <c r="M36" s="648"/>
      <c r="N36" s="649"/>
      <c r="O36" s="647" t="s">
        <v>545</v>
      </c>
      <c r="P36" s="649"/>
      <c r="Q36" s="470" t="s">
        <v>546</v>
      </c>
      <c r="R36" s="281" t="s">
        <v>441</v>
      </c>
      <c r="S36" s="466" t="s">
        <v>553</v>
      </c>
      <c r="T36" s="467"/>
      <c r="U36" s="281" t="s">
        <v>435</v>
      </c>
      <c r="V36" s="281" t="s">
        <v>401</v>
      </c>
      <c r="W36" s="283" t="s">
        <v>404</v>
      </c>
      <c r="X36" s="212"/>
      <c r="Y36" s="246"/>
      <c r="Z36" s="246"/>
      <c r="AA36" s="246"/>
      <c r="AB36" s="246"/>
      <c r="AC36" s="246"/>
      <c r="AD36" s="246"/>
      <c r="AE36" s="246"/>
      <c r="AF36" s="246"/>
      <c r="AG36" s="246"/>
      <c r="AH36" s="246"/>
      <c r="AI36" s="246"/>
      <c r="AJ36" s="246"/>
      <c r="AK36" s="246"/>
      <c r="AL36" s="246"/>
      <c r="AM36" s="246"/>
      <c r="AN36" s="246"/>
      <c r="AR36" s="232"/>
      <c r="AS36" s="232" t="str">
        <f t="shared" ca="1" si="1"/>
        <v/>
      </c>
      <c r="AT36" s="278">
        <f t="shared" ca="1" si="5"/>
        <v>0</v>
      </c>
      <c r="AU36" s="278"/>
      <c r="AV36" s="278">
        <f t="shared" ca="1" si="2"/>
        <v>0</v>
      </c>
      <c r="AW36" s="278">
        <f t="shared" ca="1" si="6"/>
        <v>0</v>
      </c>
      <c r="AX36" s="232">
        <f t="shared" ca="1" si="7"/>
        <v>0</v>
      </c>
      <c r="AY36" s="279">
        <f ca="1">LN(AX36+$J$37)-LN($J$37)</f>
        <v>0</v>
      </c>
      <c r="AZ36" s="232">
        <f t="shared" ca="1" si="4"/>
        <v>0</v>
      </c>
      <c r="BA36" s="232"/>
    </row>
    <row r="37" spans="1:53" ht="12" customHeight="1" x14ac:dyDescent="0.2">
      <c r="A37" s="246"/>
      <c r="B37" s="645"/>
      <c r="C37" s="251" t="s">
        <v>548</v>
      </c>
      <c r="D37" s="650">
        <f>Parameters!$D$29</f>
        <v>0.26900000000000002</v>
      </c>
      <c r="E37" s="651"/>
      <c r="F37" s="652"/>
      <c r="G37" s="255">
        <f>Parameters!$D$30</f>
        <v>2.41</v>
      </c>
      <c r="H37" s="653">
        <f>Parameters!$D$61</f>
        <v>4.7</v>
      </c>
      <c r="I37" s="654"/>
      <c r="J37" s="629">
        <f>Parameters!$D$58</f>
        <v>285.92228810603416</v>
      </c>
      <c r="K37" s="630"/>
      <c r="L37" s="630"/>
      <c r="M37" s="630"/>
      <c r="N37" s="631"/>
      <c r="O37" s="632">
        <f>Parameters!$D$59</f>
        <v>1000</v>
      </c>
      <c r="P37" s="633"/>
      <c r="Q37" s="280">
        <f>Parameters!$D$60</f>
        <v>212.7659574468085</v>
      </c>
      <c r="R37" s="518">
        <f>Parameters!$D$49</f>
        <v>2838.2630576673801</v>
      </c>
      <c r="S37" s="282">
        <f>Parameters!$D$50</f>
        <v>3.6112369528824271</v>
      </c>
      <c r="T37" s="464"/>
      <c r="U37" s="340">
        <f>Parameters!$D$11</f>
        <v>36.525000000000006</v>
      </c>
      <c r="V37" s="328">
        <f>Parameters!$D$45</f>
        <v>15</v>
      </c>
      <c r="W37" s="320">
        <f>Parameters!$D$46</f>
        <v>0.43099999999999999</v>
      </c>
      <c r="X37" s="316"/>
      <c r="Y37" s="246"/>
      <c r="Z37" s="238"/>
      <c r="AA37" s="246"/>
      <c r="AB37" s="246"/>
      <c r="AC37" s="246"/>
      <c r="AD37" s="246"/>
      <c r="AE37" s="246"/>
      <c r="AF37" s="246"/>
      <c r="AG37" s="246"/>
      <c r="AH37" s="246"/>
      <c r="AI37" s="246"/>
      <c r="AJ37" s="246"/>
      <c r="AK37" s="246"/>
      <c r="AL37" s="246"/>
      <c r="AM37" s="246"/>
      <c r="AN37" s="246"/>
      <c r="AO37" s="246"/>
      <c r="AS37" s="232" t="str">
        <f t="shared" ca="1" si="1"/>
        <v/>
      </c>
      <c r="AT37" s="278">
        <f t="shared" ca="1" si="5"/>
        <v>0</v>
      </c>
      <c r="AU37" s="278"/>
      <c r="AV37" s="278">
        <f t="shared" ca="1" si="2"/>
        <v>0</v>
      </c>
      <c r="AW37" s="278">
        <f t="shared" ca="1" si="6"/>
        <v>0</v>
      </c>
      <c r="AX37" s="232">
        <f t="shared" ca="1" si="7"/>
        <v>0</v>
      </c>
      <c r="AY37" s="279">
        <f ca="1">LN(AX37+$J$37)-LN($J$37)</f>
        <v>0</v>
      </c>
      <c r="AZ37" s="232">
        <f t="shared" ca="1" si="4"/>
        <v>0</v>
      </c>
      <c r="BA37" s="232"/>
    </row>
    <row r="38" spans="1:53" ht="12" customHeight="1" thickBot="1" x14ac:dyDescent="0.25">
      <c r="A38" s="246"/>
      <c r="B38" s="646"/>
      <c r="C38" s="252" t="s">
        <v>549</v>
      </c>
      <c r="D38" s="634" t="s">
        <v>218</v>
      </c>
      <c r="E38" s="635"/>
      <c r="F38" s="635"/>
      <c r="G38" s="636"/>
      <c r="H38" s="392" t="s">
        <v>551</v>
      </c>
      <c r="I38" s="393"/>
      <c r="J38" s="393"/>
      <c r="K38" s="393"/>
      <c r="L38" s="393"/>
      <c r="M38" s="393"/>
      <c r="N38" s="393"/>
      <c r="O38" s="393"/>
      <c r="P38" s="393"/>
      <c r="Q38" s="394"/>
      <c r="R38" s="634" t="s">
        <v>131</v>
      </c>
      <c r="S38" s="635"/>
      <c r="T38" s="636"/>
      <c r="U38" s="329" t="s">
        <v>253</v>
      </c>
      <c r="V38" s="330" t="s">
        <v>402</v>
      </c>
      <c r="W38" s="521" t="s">
        <v>349</v>
      </c>
      <c r="X38" s="429"/>
      <c r="Y38" s="246"/>
      <c r="Z38" s="238"/>
      <c r="AA38" s="246"/>
      <c r="AB38" s="246"/>
      <c r="AC38" s="246"/>
      <c r="AD38" s="246"/>
      <c r="AE38" s="246"/>
      <c r="AF38" s="246"/>
      <c r="AG38" s="246"/>
      <c r="AH38" s="246"/>
      <c r="AI38" s="246"/>
      <c r="AJ38" s="246"/>
      <c r="AK38" s="246"/>
      <c r="AL38" s="246"/>
      <c r="AM38" s="246"/>
      <c r="AN38" s="246"/>
      <c r="AO38" s="246"/>
      <c r="AP38" s="246"/>
      <c r="AQ38" s="246"/>
      <c r="AS38" s="232" t="str">
        <f t="shared" ca="1" si="1"/>
        <v/>
      </c>
      <c r="AT38" s="278">
        <f t="shared" ca="1" si="5"/>
        <v>0</v>
      </c>
      <c r="AU38" s="278"/>
      <c r="AV38" s="278">
        <f t="shared" ca="1" si="2"/>
        <v>0</v>
      </c>
      <c r="AW38" s="278">
        <f t="shared" ca="1" si="6"/>
        <v>0</v>
      </c>
      <c r="AX38" s="232">
        <f t="shared" ca="1" si="7"/>
        <v>0</v>
      </c>
      <c r="AY38" s="279">
        <f ca="1">LN(AX38+$J$37)-LN($J$37)</f>
        <v>0</v>
      </c>
      <c r="AZ38" s="232">
        <f t="shared" ca="1" si="4"/>
        <v>0</v>
      </c>
      <c r="BA38" s="232"/>
    </row>
    <row r="39" spans="1:53" s="246" customFormat="1" ht="15" x14ac:dyDescent="0.2">
      <c r="J39" s="309"/>
      <c r="K39" s="309"/>
      <c r="L39" s="309"/>
      <c r="M39" s="309"/>
      <c r="Z39" s="238"/>
      <c r="AS39" s="288" t="str">
        <f t="shared" ca="1" si="1"/>
        <v/>
      </c>
      <c r="AT39" s="326">
        <f t="shared" ca="1" si="5"/>
        <v>0</v>
      </c>
      <c r="AU39" s="326"/>
      <c r="AV39" s="326">
        <f t="shared" ca="1" si="2"/>
        <v>0</v>
      </c>
      <c r="AW39" s="326">
        <f t="shared" ca="1" si="6"/>
        <v>0</v>
      </c>
      <c r="AX39" s="288">
        <f t="shared" ca="1" si="7"/>
        <v>0</v>
      </c>
      <c r="AY39" s="327">
        <f t="shared" ref="AY39:AY102" ca="1" si="8">LN(AX39+$J$37)-LN($J$37)</f>
        <v>0</v>
      </c>
      <c r="AZ39" s="288">
        <f t="shared" ca="1" si="4"/>
        <v>0</v>
      </c>
      <c r="BA39" s="288"/>
    </row>
    <row r="40" spans="1:53" s="246" customFormat="1" ht="15" x14ac:dyDescent="0.2">
      <c r="R40" s="309"/>
      <c r="AS40" s="288" t="str">
        <f t="shared" ca="1" si="1"/>
        <v/>
      </c>
      <c r="AT40" s="326">
        <f t="shared" ca="1" si="5"/>
        <v>0</v>
      </c>
      <c r="AU40" s="326"/>
      <c r="AV40" s="326">
        <f t="shared" ca="1" si="2"/>
        <v>0</v>
      </c>
      <c r="AW40" s="326">
        <f t="shared" ca="1" si="6"/>
        <v>0</v>
      </c>
      <c r="AX40" s="288">
        <f t="shared" ca="1" si="7"/>
        <v>0</v>
      </c>
      <c r="AY40" s="327">
        <f t="shared" ca="1" si="8"/>
        <v>0</v>
      </c>
      <c r="AZ40" s="288">
        <f t="shared" ca="1" si="4"/>
        <v>0</v>
      </c>
      <c r="BA40" s="288"/>
    </row>
    <row r="41" spans="1:53" s="246" customFormat="1" ht="15" x14ac:dyDescent="0.2">
      <c r="R41" s="309"/>
      <c r="AS41" s="288" t="str">
        <f t="shared" ca="1" si="1"/>
        <v/>
      </c>
      <c r="AT41" s="326">
        <f t="shared" ca="1" si="5"/>
        <v>0</v>
      </c>
      <c r="AU41" s="326"/>
      <c r="AV41" s="326">
        <f t="shared" ca="1" si="2"/>
        <v>0</v>
      </c>
      <c r="AW41" s="326">
        <f t="shared" ca="1" si="6"/>
        <v>0</v>
      </c>
      <c r="AX41" s="288">
        <f t="shared" ca="1" si="7"/>
        <v>0</v>
      </c>
      <c r="AY41" s="327">
        <f t="shared" ca="1" si="8"/>
        <v>0</v>
      </c>
      <c r="AZ41" s="288">
        <f t="shared" ca="1" si="4"/>
        <v>0</v>
      </c>
      <c r="BA41" s="288"/>
    </row>
    <row r="42" spans="1:53" s="246" customFormat="1" ht="15" x14ac:dyDescent="0.2">
      <c r="R42" s="309"/>
      <c r="S42" s="410"/>
      <c r="AS42" s="288" t="str">
        <f t="shared" ca="1" si="1"/>
        <v/>
      </c>
      <c r="AT42" s="326">
        <f t="shared" ca="1" si="5"/>
        <v>0</v>
      </c>
      <c r="AU42" s="326"/>
      <c r="AV42" s="326">
        <f t="shared" ca="1" si="2"/>
        <v>0</v>
      </c>
      <c r="AW42" s="326">
        <f t="shared" ca="1" si="6"/>
        <v>0</v>
      </c>
      <c r="AX42" s="288">
        <f t="shared" ca="1" si="7"/>
        <v>0</v>
      </c>
      <c r="AY42" s="327">
        <f t="shared" ca="1" si="8"/>
        <v>0</v>
      </c>
      <c r="AZ42" s="288">
        <f t="shared" ca="1" si="4"/>
        <v>0</v>
      </c>
      <c r="BA42" s="288"/>
    </row>
    <row r="43" spans="1:53" s="246" customFormat="1" ht="15" x14ac:dyDescent="0.2">
      <c r="R43" s="412"/>
      <c r="S43" s="387"/>
      <c r="AS43" s="288" t="str">
        <f t="shared" ca="1" si="1"/>
        <v/>
      </c>
      <c r="AT43" s="326">
        <f t="shared" ca="1" si="5"/>
        <v>0</v>
      </c>
      <c r="AU43" s="326"/>
      <c r="AV43" s="326">
        <f t="shared" ca="1" si="2"/>
        <v>0</v>
      </c>
      <c r="AW43" s="326">
        <f t="shared" ca="1" si="6"/>
        <v>0</v>
      </c>
      <c r="AX43" s="288">
        <f t="shared" ca="1" si="7"/>
        <v>0</v>
      </c>
      <c r="AY43" s="327">
        <f t="shared" ca="1" si="8"/>
        <v>0</v>
      </c>
      <c r="AZ43" s="288">
        <f t="shared" ca="1" si="4"/>
        <v>0</v>
      </c>
      <c r="BA43" s="288"/>
    </row>
    <row r="44" spans="1:53" s="246" customFormat="1" ht="15" x14ac:dyDescent="0.2">
      <c r="S44" s="387"/>
      <c r="AS44" s="288" t="str">
        <f t="shared" ca="1" si="1"/>
        <v/>
      </c>
      <c r="AT44" s="326">
        <f t="shared" ca="1" si="5"/>
        <v>0</v>
      </c>
      <c r="AU44" s="326"/>
      <c r="AV44" s="326">
        <f t="shared" ca="1" si="2"/>
        <v>0</v>
      </c>
      <c r="AW44" s="326">
        <f t="shared" ca="1" si="6"/>
        <v>0</v>
      </c>
      <c r="AX44" s="288">
        <f t="shared" ca="1" si="7"/>
        <v>0</v>
      </c>
      <c r="AY44" s="327">
        <f t="shared" ca="1" si="8"/>
        <v>0</v>
      </c>
      <c r="AZ44" s="288">
        <f t="shared" ca="1" si="4"/>
        <v>0</v>
      </c>
      <c r="BA44" s="288"/>
    </row>
    <row r="45" spans="1:53" s="246" customFormat="1" ht="15" x14ac:dyDescent="0.2">
      <c r="S45" s="387"/>
      <c r="AS45" s="288" t="str">
        <f t="shared" ca="1" si="1"/>
        <v/>
      </c>
      <c r="AT45" s="326">
        <f t="shared" ca="1" si="5"/>
        <v>0</v>
      </c>
      <c r="AU45" s="326"/>
      <c r="AV45" s="326">
        <f t="shared" ca="1" si="2"/>
        <v>0</v>
      </c>
      <c r="AW45" s="326">
        <f t="shared" ca="1" si="6"/>
        <v>0</v>
      </c>
      <c r="AX45" s="288">
        <f t="shared" ca="1" si="7"/>
        <v>0</v>
      </c>
      <c r="AY45" s="327">
        <f t="shared" ca="1" si="8"/>
        <v>0</v>
      </c>
      <c r="AZ45" s="288">
        <f t="shared" ca="1" si="4"/>
        <v>0</v>
      </c>
      <c r="BA45" s="288"/>
    </row>
    <row r="46" spans="1:53" s="246" customFormat="1" ht="15" x14ac:dyDescent="0.2">
      <c r="S46" s="387"/>
      <c r="AS46" s="288" t="str">
        <f t="shared" ca="1" si="1"/>
        <v/>
      </c>
      <c r="AT46" s="326">
        <f t="shared" ca="1" si="5"/>
        <v>0</v>
      </c>
      <c r="AU46" s="326"/>
      <c r="AV46" s="326">
        <f t="shared" ca="1" si="2"/>
        <v>0</v>
      </c>
      <c r="AW46" s="326">
        <f t="shared" ca="1" si="6"/>
        <v>0</v>
      </c>
      <c r="AX46" s="288">
        <f t="shared" ca="1" si="7"/>
        <v>0</v>
      </c>
      <c r="AY46" s="327">
        <f t="shared" ca="1" si="8"/>
        <v>0</v>
      </c>
      <c r="AZ46" s="288">
        <f t="shared" ca="1" si="4"/>
        <v>0</v>
      </c>
      <c r="BA46" s="288"/>
    </row>
    <row r="47" spans="1:53" s="246" customFormat="1" ht="15" x14ac:dyDescent="0.2">
      <c r="S47" s="387"/>
      <c r="AS47" s="288" t="str">
        <f t="shared" ca="1" si="1"/>
        <v/>
      </c>
      <c r="AT47" s="326">
        <f t="shared" ca="1" si="5"/>
        <v>0</v>
      </c>
      <c r="AU47" s="326"/>
      <c r="AV47" s="326">
        <f t="shared" ca="1" si="2"/>
        <v>0</v>
      </c>
      <c r="AW47" s="326">
        <f t="shared" ca="1" si="6"/>
        <v>0</v>
      </c>
      <c r="AX47" s="288">
        <f t="shared" ca="1" si="7"/>
        <v>0</v>
      </c>
      <c r="AY47" s="327">
        <f t="shared" ca="1" si="8"/>
        <v>0</v>
      </c>
      <c r="AZ47" s="288">
        <f t="shared" ca="1" si="4"/>
        <v>0</v>
      </c>
      <c r="BA47" s="288"/>
    </row>
    <row r="48" spans="1:53" s="246" customFormat="1" ht="15" x14ac:dyDescent="0.2">
      <c r="AS48" s="288" t="str">
        <f t="shared" ca="1" si="1"/>
        <v/>
      </c>
      <c r="AT48" s="326">
        <f t="shared" ca="1" si="5"/>
        <v>0</v>
      </c>
      <c r="AU48" s="326"/>
      <c r="AV48" s="326">
        <f t="shared" ca="1" si="2"/>
        <v>0</v>
      </c>
      <c r="AW48" s="326">
        <f t="shared" ca="1" si="6"/>
        <v>0</v>
      </c>
      <c r="AX48" s="288">
        <f t="shared" ca="1" si="7"/>
        <v>0</v>
      </c>
      <c r="AY48" s="327">
        <f t="shared" ca="1" si="8"/>
        <v>0</v>
      </c>
      <c r="AZ48" s="288">
        <f t="shared" ca="1" si="4"/>
        <v>0</v>
      </c>
      <c r="BA48" s="288"/>
    </row>
    <row r="49" spans="45:53" s="246" customFormat="1" ht="15" x14ac:dyDescent="0.2">
      <c r="AS49" s="288" t="str">
        <f t="shared" ca="1" si="1"/>
        <v/>
      </c>
      <c r="AT49" s="326">
        <f t="shared" ca="1" si="5"/>
        <v>0</v>
      </c>
      <c r="AU49" s="326"/>
      <c r="AV49" s="326">
        <f t="shared" ca="1" si="2"/>
        <v>0</v>
      </c>
      <c r="AW49" s="326">
        <f t="shared" ca="1" si="6"/>
        <v>0</v>
      </c>
      <c r="AX49" s="288">
        <f t="shared" ca="1" si="7"/>
        <v>0</v>
      </c>
      <c r="AY49" s="327">
        <f t="shared" ca="1" si="8"/>
        <v>0</v>
      </c>
      <c r="AZ49" s="288">
        <f t="shared" ca="1" si="4"/>
        <v>0</v>
      </c>
      <c r="BA49" s="288"/>
    </row>
    <row r="50" spans="45:53" s="246" customFormat="1" ht="15" x14ac:dyDescent="0.2">
      <c r="AS50" s="288" t="str">
        <f t="shared" ca="1" si="1"/>
        <v/>
      </c>
      <c r="AT50" s="326">
        <f t="shared" ca="1" si="5"/>
        <v>0</v>
      </c>
      <c r="AU50" s="326"/>
      <c r="AV50" s="326">
        <f t="shared" ca="1" si="2"/>
        <v>0</v>
      </c>
      <c r="AW50" s="326">
        <f t="shared" ca="1" si="6"/>
        <v>0</v>
      </c>
      <c r="AX50" s="288">
        <f t="shared" ca="1" si="7"/>
        <v>0</v>
      </c>
      <c r="AY50" s="327">
        <f t="shared" ca="1" si="8"/>
        <v>0</v>
      </c>
      <c r="AZ50" s="288">
        <f t="shared" ca="1" si="4"/>
        <v>0</v>
      </c>
      <c r="BA50" s="288"/>
    </row>
    <row r="51" spans="45:53" s="246" customFormat="1" ht="15" x14ac:dyDescent="0.2">
      <c r="AS51" s="288" t="str">
        <f t="shared" ca="1" si="1"/>
        <v/>
      </c>
      <c r="AT51" s="326">
        <f t="shared" ca="1" si="5"/>
        <v>0</v>
      </c>
      <c r="AU51" s="326"/>
      <c r="AV51" s="326">
        <f t="shared" ca="1" si="2"/>
        <v>0</v>
      </c>
      <c r="AW51" s="326">
        <f t="shared" ca="1" si="6"/>
        <v>0</v>
      </c>
      <c r="AX51" s="288">
        <f t="shared" ca="1" si="7"/>
        <v>0</v>
      </c>
      <c r="AY51" s="327">
        <f t="shared" ca="1" si="8"/>
        <v>0</v>
      </c>
      <c r="AZ51" s="288">
        <f t="shared" ca="1" si="4"/>
        <v>0</v>
      </c>
      <c r="BA51" s="288"/>
    </row>
    <row r="52" spans="45:53" s="246" customFormat="1" ht="15" x14ac:dyDescent="0.2">
      <c r="AS52" s="288" t="str">
        <f t="shared" ca="1" si="1"/>
        <v/>
      </c>
      <c r="AT52" s="326">
        <f t="shared" ca="1" si="5"/>
        <v>0</v>
      </c>
      <c r="AU52" s="326"/>
      <c r="AV52" s="326">
        <f t="shared" ca="1" si="2"/>
        <v>0</v>
      </c>
      <c r="AW52" s="326">
        <f t="shared" ca="1" si="6"/>
        <v>0</v>
      </c>
      <c r="AX52" s="288">
        <f t="shared" ca="1" si="7"/>
        <v>0</v>
      </c>
      <c r="AY52" s="327">
        <f t="shared" ca="1" si="8"/>
        <v>0</v>
      </c>
      <c r="AZ52" s="288">
        <f t="shared" ca="1" si="4"/>
        <v>0</v>
      </c>
      <c r="BA52" s="288"/>
    </row>
    <row r="53" spans="45:53" s="246" customFormat="1" ht="15" x14ac:dyDescent="0.2">
      <c r="AS53" s="288" t="str">
        <f t="shared" ca="1" si="1"/>
        <v/>
      </c>
      <c r="AT53" s="326">
        <f t="shared" ca="1" si="5"/>
        <v>0</v>
      </c>
      <c r="AU53" s="326"/>
      <c r="AV53" s="326">
        <f t="shared" ca="1" si="2"/>
        <v>0</v>
      </c>
      <c r="AW53" s="326">
        <f t="shared" ca="1" si="6"/>
        <v>0</v>
      </c>
      <c r="AX53" s="288">
        <f t="shared" ca="1" si="7"/>
        <v>0</v>
      </c>
      <c r="AY53" s="327">
        <f t="shared" ca="1" si="8"/>
        <v>0</v>
      </c>
      <c r="AZ53" s="288">
        <f t="shared" ca="1" si="4"/>
        <v>0</v>
      </c>
      <c r="BA53" s="288"/>
    </row>
    <row r="54" spans="45:53" s="246" customFormat="1" ht="15" x14ac:dyDescent="0.2">
      <c r="AS54" s="288" t="str">
        <f t="shared" ca="1" si="1"/>
        <v/>
      </c>
      <c r="AT54" s="326">
        <f t="shared" ca="1" si="5"/>
        <v>0</v>
      </c>
      <c r="AU54" s="326"/>
      <c r="AV54" s="326">
        <f t="shared" ca="1" si="2"/>
        <v>0</v>
      </c>
      <c r="AW54" s="326">
        <f t="shared" ca="1" si="6"/>
        <v>0</v>
      </c>
      <c r="AX54" s="288">
        <f t="shared" ca="1" si="7"/>
        <v>0</v>
      </c>
      <c r="AY54" s="327">
        <f t="shared" ca="1" si="8"/>
        <v>0</v>
      </c>
      <c r="AZ54" s="288">
        <f t="shared" ca="1" si="4"/>
        <v>0</v>
      </c>
      <c r="BA54" s="288"/>
    </row>
    <row r="55" spans="45:53" s="246" customFormat="1" ht="15" x14ac:dyDescent="0.2">
      <c r="AS55" s="288" t="str">
        <f t="shared" ca="1" si="1"/>
        <v/>
      </c>
      <c r="AT55" s="326">
        <f t="shared" ca="1" si="5"/>
        <v>0</v>
      </c>
      <c r="AU55" s="326"/>
      <c r="AV55" s="326">
        <f t="shared" ca="1" si="2"/>
        <v>0</v>
      </c>
      <c r="AW55" s="326">
        <f t="shared" ca="1" si="6"/>
        <v>0</v>
      </c>
      <c r="AX55" s="288">
        <f t="shared" ca="1" si="7"/>
        <v>0</v>
      </c>
      <c r="AY55" s="327">
        <f t="shared" ca="1" si="8"/>
        <v>0</v>
      </c>
      <c r="AZ55" s="288">
        <f t="shared" ca="1" si="4"/>
        <v>0</v>
      </c>
      <c r="BA55" s="288"/>
    </row>
    <row r="56" spans="45:53" s="246" customFormat="1" ht="15" x14ac:dyDescent="0.2">
      <c r="AS56" s="288" t="str">
        <f t="shared" ca="1" si="1"/>
        <v/>
      </c>
      <c r="AT56" s="326">
        <f t="shared" ca="1" si="5"/>
        <v>0</v>
      </c>
      <c r="AU56" s="326"/>
      <c r="AV56" s="326">
        <f t="shared" ca="1" si="2"/>
        <v>0</v>
      </c>
      <c r="AW56" s="326">
        <f t="shared" ca="1" si="6"/>
        <v>0</v>
      </c>
      <c r="AX56" s="288">
        <f t="shared" ca="1" si="7"/>
        <v>0</v>
      </c>
      <c r="AY56" s="327">
        <f t="shared" ca="1" si="8"/>
        <v>0</v>
      </c>
      <c r="AZ56" s="288">
        <f t="shared" ca="1" si="4"/>
        <v>0</v>
      </c>
      <c r="BA56" s="288"/>
    </row>
    <row r="57" spans="45:53" s="246" customFormat="1" ht="15" x14ac:dyDescent="0.2">
      <c r="AS57" s="288" t="str">
        <f t="shared" ca="1" si="1"/>
        <v/>
      </c>
      <c r="AT57" s="326">
        <f t="shared" ca="1" si="5"/>
        <v>0</v>
      </c>
      <c r="AU57" s="326"/>
      <c r="AV57" s="326">
        <f t="shared" ca="1" si="2"/>
        <v>0</v>
      </c>
      <c r="AW57" s="326">
        <f t="shared" ca="1" si="6"/>
        <v>0</v>
      </c>
      <c r="AX57" s="288">
        <f t="shared" ca="1" si="7"/>
        <v>0</v>
      </c>
      <c r="AY57" s="327">
        <f t="shared" ca="1" si="8"/>
        <v>0</v>
      </c>
      <c r="AZ57" s="288">
        <f t="shared" ca="1" si="4"/>
        <v>0</v>
      </c>
      <c r="BA57" s="288"/>
    </row>
    <row r="58" spans="45:53" s="246" customFormat="1" ht="15" x14ac:dyDescent="0.2">
      <c r="AS58" s="288" t="str">
        <f t="shared" ca="1" si="1"/>
        <v/>
      </c>
      <c r="AT58" s="326">
        <f t="shared" ca="1" si="5"/>
        <v>0</v>
      </c>
      <c r="AU58" s="326"/>
      <c r="AV58" s="326">
        <f t="shared" ca="1" si="2"/>
        <v>0</v>
      </c>
      <c r="AW58" s="326">
        <f t="shared" ca="1" si="6"/>
        <v>0</v>
      </c>
      <c r="AX58" s="288">
        <f t="shared" ca="1" si="7"/>
        <v>0</v>
      </c>
      <c r="AY58" s="327">
        <f t="shared" ca="1" si="8"/>
        <v>0</v>
      </c>
      <c r="AZ58" s="288">
        <f t="shared" ca="1" si="4"/>
        <v>0</v>
      </c>
      <c r="BA58" s="288"/>
    </row>
    <row r="59" spans="45:53" s="246" customFormat="1" ht="15" x14ac:dyDescent="0.2">
      <c r="AS59" s="288" t="str">
        <f t="shared" ca="1" si="1"/>
        <v/>
      </c>
      <c r="AT59" s="326">
        <f t="shared" ca="1" si="5"/>
        <v>0</v>
      </c>
      <c r="AU59" s="326"/>
      <c r="AV59" s="326">
        <f t="shared" ca="1" si="2"/>
        <v>0</v>
      </c>
      <c r="AW59" s="326">
        <f t="shared" ca="1" si="6"/>
        <v>0</v>
      </c>
      <c r="AX59" s="288">
        <f t="shared" ca="1" si="7"/>
        <v>0</v>
      </c>
      <c r="AY59" s="327">
        <f t="shared" ca="1" si="8"/>
        <v>0</v>
      </c>
      <c r="AZ59" s="288">
        <f t="shared" ca="1" si="4"/>
        <v>0</v>
      </c>
      <c r="BA59" s="288"/>
    </row>
    <row r="60" spans="45:53" s="246" customFormat="1" ht="15" x14ac:dyDescent="0.2">
      <c r="AS60" s="288" t="str">
        <f t="shared" ca="1" si="1"/>
        <v/>
      </c>
      <c r="AT60" s="326">
        <f t="shared" ca="1" si="5"/>
        <v>0</v>
      </c>
      <c r="AU60" s="326"/>
      <c r="AV60" s="326">
        <f t="shared" ca="1" si="2"/>
        <v>0</v>
      </c>
      <c r="AW60" s="326">
        <f t="shared" ca="1" si="6"/>
        <v>0</v>
      </c>
      <c r="AX60" s="288">
        <f t="shared" ca="1" si="7"/>
        <v>0</v>
      </c>
      <c r="AY60" s="327">
        <f t="shared" ca="1" si="8"/>
        <v>0</v>
      </c>
      <c r="AZ60" s="288">
        <f t="shared" ca="1" si="4"/>
        <v>0</v>
      </c>
      <c r="BA60" s="288"/>
    </row>
    <row r="61" spans="45:53" s="246" customFormat="1" ht="15" x14ac:dyDescent="0.2">
      <c r="AS61" s="288" t="str">
        <f t="shared" ca="1" si="1"/>
        <v/>
      </c>
      <c r="AT61" s="326">
        <f t="shared" ca="1" si="5"/>
        <v>0</v>
      </c>
      <c r="AU61" s="326"/>
      <c r="AV61" s="326">
        <f t="shared" ca="1" si="2"/>
        <v>0</v>
      </c>
      <c r="AW61" s="326">
        <f t="shared" ca="1" si="6"/>
        <v>0</v>
      </c>
      <c r="AX61" s="288">
        <f t="shared" ca="1" si="7"/>
        <v>0</v>
      </c>
      <c r="AY61" s="327">
        <f t="shared" ca="1" si="8"/>
        <v>0</v>
      </c>
      <c r="AZ61" s="288">
        <f t="shared" ca="1" si="4"/>
        <v>0</v>
      </c>
      <c r="BA61" s="288"/>
    </row>
    <row r="62" spans="45:53" s="246" customFormat="1" ht="15" x14ac:dyDescent="0.2">
      <c r="AS62" s="288" t="str">
        <f t="shared" ca="1" si="1"/>
        <v/>
      </c>
      <c r="AT62" s="326">
        <f t="shared" ca="1" si="5"/>
        <v>0</v>
      </c>
      <c r="AU62" s="326"/>
      <c r="AV62" s="326">
        <f t="shared" ca="1" si="2"/>
        <v>0</v>
      </c>
      <c r="AW62" s="326">
        <f t="shared" ca="1" si="6"/>
        <v>0</v>
      </c>
      <c r="AX62" s="288">
        <f t="shared" ca="1" si="7"/>
        <v>0</v>
      </c>
      <c r="AY62" s="327">
        <f t="shared" ca="1" si="8"/>
        <v>0</v>
      </c>
      <c r="AZ62" s="288">
        <f t="shared" ca="1" si="4"/>
        <v>0</v>
      </c>
      <c r="BA62" s="288"/>
    </row>
    <row r="63" spans="45:53" s="246" customFormat="1" ht="15" x14ac:dyDescent="0.2">
      <c r="AS63" s="288" t="str">
        <f t="shared" ca="1" si="1"/>
        <v/>
      </c>
      <c r="AT63" s="326">
        <f t="shared" ca="1" si="5"/>
        <v>0</v>
      </c>
      <c r="AU63" s="326"/>
      <c r="AV63" s="326">
        <f t="shared" ca="1" si="2"/>
        <v>0</v>
      </c>
      <c r="AW63" s="326">
        <f t="shared" ca="1" si="6"/>
        <v>0</v>
      </c>
      <c r="AX63" s="288">
        <f t="shared" ca="1" si="7"/>
        <v>0</v>
      </c>
      <c r="AY63" s="327">
        <f t="shared" ca="1" si="8"/>
        <v>0</v>
      </c>
      <c r="AZ63" s="288">
        <f t="shared" ca="1" si="4"/>
        <v>0</v>
      </c>
      <c r="BA63" s="288"/>
    </row>
    <row r="64" spans="45:53" s="246" customFormat="1" ht="15" x14ac:dyDescent="0.2">
      <c r="AS64" s="288" t="str">
        <f t="shared" ca="1" si="1"/>
        <v/>
      </c>
      <c r="AT64" s="326">
        <f t="shared" ca="1" si="5"/>
        <v>0</v>
      </c>
      <c r="AU64" s="326"/>
      <c r="AV64" s="326">
        <f t="shared" ca="1" si="2"/>
        <v>0</v>
      </c>
      <c r="AW64" s="326">
        <f t="shared" ca="1" si="6"/>
        <v>0</v>
      </c>
      <c r="AX64" s="288">
        <f t="shared" ca="1" si="7"/>
        <v>0</v>
      </c>
      <c r="AY64" s="327">
        <f t="shared" ca="1" si="8"/>
        <v>0</v>
      </c>
      <c r="AZ64" s="288">
        <f t="shared" ca="1" si="4"/>
        <v>0</v>
      </c>
      <c r="BA64" s="288"/>
    </row>
    <row r="65" spans="45:53" s="246" customFormat="1" ht="15" x14ac:dyDescent="0.2">
      <c r="AS65" s="288" t="str">
        <f t="shared" ca="1" si="1"/>
        <v/>
      </c>
      <c r="AT65" s="326">
        <f t="shared" ca="1" si="5"/>
        <v>0</v>
      </c>
      <c r="AU65" s="326"/>
      <c r="AV65" s="326">
        <f t="shared" ca="1" si="2"/>
        <v>0</v>
      </c>
      <c r="AW65" s="326">
        <f t="shared" ca="1" si="6"/>
        <v>0</v>
      </c>
      <c r="AX65" s="288">
        <f t="shared" ca="1" si="7"/>
        <v>0</v>
      </c>
      <c r="AY65" s="327">
        <f t="shared" ca="1" si="8"/>
        <v>0</v>
      </c>
      <c r="AZ65" s="288">
        <f t="shared" ca="1" si="4"/>
        <v>0</v>
      </c>
      <c r="BA65" s="288"/>
    </row>
    <row r="66" spans="45:53" s="246" customFormat="1" ht="15" x14ac:dyDescent="0.2">
      <c r="AS66" s="288" t="str">
        <f t="shared" ca="1" si="1"/>
        <v/>
      </c>
      <c r="AT66" s="326">
        <f t="shared" ca="1" si="5"/>
        <v>0</v>
      </c>
      <c r="AU66" s="326"/>
      <c r="AV66" s="326">
        <f t="shared" ca="1" si="2"/>
        <v>0</v>
      </c>
      <c r="AW66" s="326">
        <f t="shared" ca="1" si="6"/>
        <v>0</v>
      </c>
      <c r="AX66" s="288">
        <f t="shared" ca="1" si="7"/>
        <v>0</v>
      </c>
      <c r="AY66" s="327">
        <f t="shared" ca="1" si="8"/>
        <v>0</v>
      </c>
      <c r="AZ66" s="288">
        <f t="shared" ca="1" si="4"/>
        <v>0</v>
      </c>
      <c r="BA66" s="288"/>
    </row>
    <row r="67" spans="45:53" s="246" customFormat="1" ht="15" x14ac:dyDescent="0.2">
      <c r="AS67" s="288" t="str">
        <f t="shared" ca="1" si="1"/>
        <v/>
      </c>
      <c r="AT67" s="326">
        <f t="shared" ca="1" si="5"/>
        <v>0</v>
      </c>
      <c r="AU67" s="326"/>
      <c r="AV67" s="326">
        <f t="shared" ca="1" si="2"/>
        <v>0</v>
      </c>
      <c r="AW67" s="326">
        <f t="shared" ca="1" si="6"/>
        <v>0</v>
      </c>
      <c r="AX67" s="288">
        <f t="shared" ca="1" si="7"/>
        <v>0</v>
      </c>
      <c r="AY67" s="327">
        <f t="shared" ca="1" si="8"/>
        <v>0</v>
      </c>
      <c r="AZ67" s="288">
        <f t="shared" ca="1" si="4"/>
        <v>0</v>
      </c>
      <c r="BA67" s="288"/>
    </row>
    <row r="68" spans="45:53" s="246" customFormat="1" ht="15" x14ac:dyDescent="0.2">
      <c r="AS68" s="288" t="str">
        <f t="shared" ca="1" si="1"/>
        <v/>
      </c>
      <c r="AT68" s="326">
        <f t="shared" ca="1" si="5"/>
        <v>0</v>
      </c>
      <c r="AU68" s="326"/>
      <c r="AV68" s="326">
        <f t="shared" ca="1" si="2"/>
        <v>0</v>
      </c>
      <c r="AW68" s="326">
        <f t="shared" ca="1" si="6"/>
        <v>0</v>
      </c>
      <c r="AX68" s="288">
        <f t="shared" ca="1" si="7"/>
        <v>0</v>
      </c>
      <c r="AY68" s="327">
        <f t="shared" ca="1" si="8"/>
        <v>0</v>
      </c>
      <c r="AZ68" s="288">
        <f t="shared" ca="1" si="4"/>
        <v>0</v>
      </c>
      <c r="BA68" s="288"/>
    </row>
    <row r="69" spans="45:53" s="246" customFormat="1" ht="15" x14ac:dyDescent="0.2">
      <c r="AS69" s="288" t="str">
        <f t="shared" ref="AS69:AS114" ca="1" si="9">IF(AS68&lt;$D$14,AS68+1,"")</f>
        <v/>
      </c>
      <c r="AT69" s="326">
        <f t="shared" ca="1" si="5"/>
        <v>0</v>
      </c>
      <c r="AU69" s="326"/>
      <c r="AV69" s="326">
        <f t="shared" ca="1" si="2"/>
        <v>0</v>
      </c>
      <c r="AW69" s="326">
        <f t="shared" ca="1" si="6"/>
        <v>0</v>
      </c>
      <c r="AX69" s="288">
        <f t="shared" ca="1" si="7"/>
        <v>0</v>
      </c>
      <c r="AY69" s="327">
        <f t="shared" ca="1" si="8"/>
        <v>0</v>
      </c>
      <c r="AZ69" s="288">
        <f t="shared" ca="1" si="4"/>
        <v>0</v>
      </c>
      <c r="BA69" s="288"/>
    </row>
    <row r="70" spans="45:53" s="246" customFormat="1" ht="15" x14ac:dyDescent="0.2">
      <c r="AS70" s="288" t="str">
        <f t="shared" ca="1" si="9"/>
        <v/>
      </c>
      <c r="AT70" s="326">
        <f t="shared" ca="1" si="5"/>
        <v>0</v>
      </c>
      <c r="AU70" s="326"/>
      <c r="AV70" s="326">
        <f t="shared" ca="1" si="2"/>
        <v>0</v>
      </c>
      <c r="AW70" s="326">
        <f t="shared" ca="1" si="6"/>
        <v>0</v>
      </c>
      <c r="AX70" s="288">
        <f t="shared" ca="1" si="7"/>
        <v>0</v>
      </c>
      <c r="AY70" s="327">
        <f t="shared" ca="1" si="8"/>
        <v>0</v>
      </c>
      <c r="AZ70" s="288">
        <f t="shared" ca="1" si="4"/>
        <v>0</v>
      </c>
      <c r="BA70" s="288"/>
    </row>
    <row r="71" spans="45:53" s="246" customFormat="1" ht="15" x14ac:dyDescent="0.2">
      <c r="AS71" s="288" t="str">
        <f t="shared" ca="1" si="9"/>
        <v/>
      </c>
      <c r="AT71" s="326">
        <f t="shared" ca="1" si="5"/>
        <v>0</v>
      </c>
      <c r="AU71" s="326"/>
      <c r="AV71" s="326">
        <f t="shared" ca="1" si="2"/>
        <v>0</v>
      </c>
      <c r="AW71" s="326">
        <f t="shared" ca="1" si="6"/>
        <v>0</v>
      </c>
      <c r="AX71" s="288">
        <f t="shared" ca="1" si="7"/>
        <v>0</v>
      </c>
      <c r="AY71" s="327">
        <f t="shared" ca="1" si="8"/>
        <v>0</v>
      </c>
      <c r="AZ71" s="288">
        <f t="shared" ca="1" si="4"/>
        <v>0</v>
      </c>
      <c r="BA71" s="288"/>
    </row>
    <row r="72" spans="45:53" s="246" customFormat="1" ht="15" x14ac:dyDescent="0.2">
      <c r="AS72" s="288" t="str">
        <f t="shared" ca="1" si="9"/>
        <v/>
      </c>
      <c r="AT72" s="326">
        <f t="shared" ca="1" si="5"/>
        <v>0</v>
      </c>
      <c r="AU72" s="326"/>
      <c r="AV72" s="326">
        <f t="shared" ref="AV72:AV114" ca="1" si="10">$D$10*AT72</f>
        <v>0</v>
      </c>
      <c r="AW72" s="326">
        <f t="shared" ca="1" si="6"/>
        <v>0</v>
      </c>
      <c r="AX72" s="288">
        <f t="shared" ca="1" si="7"/>
        <v>0</v>
      </c>
      <c r="AY72" s="327">
        <f t="shared" ca="1" si="8"/>
        <v>0</v>
      </c>
      <c r="AZ72" s="288">
        <f t="shared" ref="AZ72:AZ114" ca="1" si="11">IF(ISNUMBER(AS72),AY72/(1+$D$7)^AS72,0)</f>
        <v>0</v>
      </c>
      <c r="BA72" s="288"/>
    </row>
    <row r="73" spans="45:53" s="246" customFormat="1" ht="15" x14ac:dyDescent="0.2">
      <c r="AS73" s="288" t="str">
        <f t="shared" ca="1" si="9"/>
        <v/>
      </c>
      <c r="AT73" s="326">
        <f t="shared" ref="AT73:AT114" ca="1" si="12">IF(ISNUMBER(AS73),AW72,0)</f>
        <v>0</v>
      </c>
      <c r="AU73" s="326"/>
      <c r="AV73" s="326">
        <f t="shared" ca="1" si="10"/>
        <v>0</v>
      </c>
      <c r="AW73" s="326">
        <f t="shared" ref="AW73:AW114" ca="1" si="13">AT73</f>
        <v>0</v>
      </c>
      <c r="AX73" s="288">
        <f t="shared" ca="1" si="7"/>
        <v>0</v>
      </c>
      <c r="AY73" s="327">
        <f t="shared" ca="1" si="8"/>
        <v>0</v>
      </c>
      <c r="AZ73" s="288">
        <f t="shared" ca="1" si="11"/>
        <v>0</v>
      </c>
      <c r="BA73" s="288"/>
    </row>
    <row r="74" spans="45:53" s="246" customFormat="1" ht="15" x14ac:dyDescent="0.2">
      <c r="AS74" s="288" t="str">
        <f t="shared" ca="1" si="9"/>
        <v/>
      </c>
      <c r="AT74" s="326">
        <f t="shared" ca="1" si="12"/>
        <v>0</v>
      </c>
      <c r="AU74" s="326"/>
      <c r="AV74" s="326">
        <f t="shared" ca="1" si="10"/>
        <v>0</v>
      </c>
      <c r="AW74" s="326">
        <f t="shared" ca="1" si="13"/>
        <v>0</v>
      </c>
      <c r="AX74" s="288">
        <f t="shared" ca="1" si="7"/>
        <v>0</v>
      </c>
      <c r="AY74" s="327">
        <f t="shared" ca="1" si="8"/>
        <v>0</v>
      </c>
      <c r="AZ74" s="288">
        <f t="shared" ca="1" si="11"/>
        <v>0</v>
      </c>
      <c r="BA74" s="288"/>
    </row>
    <row r="75" spans="45:53" s="246" customFormat="1" ht="15" x14ac:dyDescent="0.2">
      <c r="AS75" s="288" t="str">
        <f t="shared" ca="1" si="9"/>
        <v/>
      </c>
      <c r="AT75" s="326">
        <f t="shared" ca="1" si="12"/>
        <v>0</v>
      </c>
      <c r="AU75" s="326"/>
      <c r="AV75" s="326">
        <f t="shared" ca="1" si="10"/>
        <v>0</v>
      </c>
      <c r="AW75" s="326">
        <f t="shared" ca="1" si="13"/>
        <v>0</v>
      </c>
      <c r="AX75" s="288">
        <f t="shared" ca="1" si="7"/>
        <v>0</v>
      </c>
      <c r="AY75" s="327">
        <f t="shared" ca="1" si="8"/>
        <v>0</v>
      </c>
      <c r="AZ75" s="288">
        <f t="shared" ca="1" si="11"/>
        <v>0</v>
      </c>
      <c r="BA75" s="288"/>
    </row>
    <row r="76" spans="45:53" s="246" customFormat="1" ht="15" x14ac:dyDescent="0.2">
      <c r="AS76" s="288" t="str">
        <f t="shared" ca="1" si="9"/>
        <v/>
      </c>
      <c r="AT76" s="326">
        <f t="shared" ca="1" si="12"/>
        <v>0</v>
      </c>
      <c r="AU76" s="326"/>
      <c r="AV76" s="326">
        <f t="shared" ca="1" si="10"/>
        <v>0</v>
      </c>
      <c r="AW76" s="326">
        <f t="shared" ca="1" si="13"/>
        <v>0</v>
      </c>
      <c r="AX76" s="288">
        <f t="shared" ca="1" si="7"/>
        <v>0</v>
      </c>
      <c r="AY76" s="327">
        <f t="shared" ca="1" si="8"/>
        <v>0</v>
      </c>
      <c r="AZ76" s="288">
        <f t="shared" ca="1" si="11"/>
        <v>0</v>
      </c>
      <c r="BA76" s="288"/>
    </row>
    <row r="77" spans="45:53" s="246" customFormat="1" ht="15" x14ac:dyDescent="0.2">
      <c r="AS77" s="288" t="str">
        <f t="shared" ca="1" si="9"/>
        <v/>
      </c>
      <c r="AT77" s="326">
        <f t="shared" ca="1" si="12"/>
        <v>0</v>
      </c>
      <c r="AU77" s="326"/>
      <c r="AV77" s="326">
        <f t="shared" ca="1" si="10"/>
        <v>0</v>
      </c>
      <c r="AW77" s="326">
        <f t="shared" ca="1" si="13"/>
        <v>0</v>
      </c>
      <c r="AX77" s="288">
        <f t="shared" ca="1" si="7"/>
        <v>0</v>
      </c>
      <c r="AY77" s="327">
        <f t="shared" ca="1" si="8"/>
        <v>0</v>
      </c>
      <c r="AZ77" s="288">
        <f t="shared" ca="1" si="11"/>
        <v>0</v>
      </c>
      <c r="BA77" s="288"/>
    </row>
    <row r="78" spans="45:53" s="246" customFormat="1" ht="15" x14ac:dyDescent="0.2">
      <c r="AS78" s="288" t="str">
        <f t="shared" ca="1" si="9"/>
        <v/>
      </c>
      <c r="AT78" s="326">
        <f t="shared" ca="1" si="12"/>
        <v>0</v>
      </c>
      <c r="AU78" s="326"/>
      <c r="AV78" s="326">
        <f t="shared" ca="1" si="10"/>
        <v>0</v>
      </c>
      <c r="AW78" s="326">
        <f t="shared" ca="1" si="13"/>
        <v>0</v>
      </c>
      <c r="AX78" s="288">
        <f t="shared" ca="1" si="7"/>
        <v>0</v>
      </c>
      <c r="AY78" s="327">
        <f t="shared" ca="1" si="8"/>
        <v>0</v>
      </c>
      <c r="AZ78" s="288">
        <f t="shared" ca="1" si="11"/>
        <v>0</v>
      </c>
      <c r="BA78" s="288"/>
    </row>
    <row r="79" spans="45:53" s="246" customFormat="1" ht="15" x14ac:dyDescent="0.2">
      <c r="AS79" s="288" t="str">
        <f t="shared" ca="1" si="9"/>
        <v/>
      </c>
      <c r="AT79" s="326">
        <f t="shared" ca="1" si="12"/>
        <v>0</v>
      </c>
      <c r="AU79" s="326"/>
      <c r="AV79" s="326">
        <f t="shared" ca="1" si="10"/>
        <v>0</v>
      </c>
      <c r="AW79" s="326">
        <f t="shared" ca="1" si="13"/>
        <v>0</v>
      </c>
      <c r="AX79" s="288">
        <f t="shared" ca="1" si="7"/>
        <v>0</v>
      </c>
      <c r="AY79" s="327">
        <f t="shared" ca="1" si="8"/>
        <v>0</v>
      </c>
      <c r="AZ79" s="288">
        <f t="shared" ca="1" si="11"/>
        <v>0</v>
      </c>
      <c r="BA79" s="288"/>
    </row>
    <row r="80" spans="45:53" s="246" customFormat="1" ht="15" x14ac:dyDescent="0.2">
      <c r="AS80" s="288" t="str">
        <f t="shared" ca="1" si="9"/>
        <v/>
      </c>
      <c r="AT80" s="326">
        <f t="shared" ca="1" si="12"/>
        <v>0</v>
      </c>
      <c r="AU80" s="326"/>
      <c r="AV80" s="326">
        <f t="shared" ca="1" si="10"/>
        <v>0</v>
      </c>
      <c r="AW80" s="326">
        <f t="shared" ca="1" si="13"/>
        <v>0</v>
      </c>
      <c r="AX80" s="288">
        <f t="shared" ca="1" si="7"/>
        <v>0</v>
      </c>
      <c r="AY80" s="327">
        <f t="shared" ca="1" si="8"/>
        <v>0</v>
      </c>
      <c r="AZ80" s="288">
        <f t="shared" ca="1" si="11"/>
        <v>0</v>
      </c>
      <c r="BA80" s="288"/>
    </row>
    <row r="81" spans="45:53" s="246" customFormat="1" ht="15" x14ac:dyDescent="0.2">
      <c r="AS81" s="288" t="str">
        <f t="shared" ca="1" si="9"/>
        <v/>
      </c>
      <c r="AT81" s="326">
        <f t="shared" ca="1" si="12"/>
        <v>0</v>
      </c>
      <c r="AU81" s="326"/>
      <c r="AV81" s="326">
        <f t="shared" ca="1" si="10"/>
        <v>0</v>
      </c>
      <c r="AW81" s="326">
        <f t="shared" ca="1" si="13"/>
        <v>0</v>
      </c>
      <c r="AX81" s="288">
        <f t="shared" ca="1" si="7"/>
        <v>0</v>
      </c>
      <c r="AY81" s="327">
        <f t="shared" ca="1" si="8"/>
        <v>0</v>
      </c>
      <c r="AZ81" s="288">
        <f t="shared" ca="1" si="11"/>
        <v>0</v>
      </c>
      <c r="BA81" s="288"/>
    </row>
    <row r="82" spans="45:53" s="246" customFormat="1" ht="15" x14ac:dyDescent="0.2">
      <c r="AS82" s="288" t="str">
        <f t="shared" ca="1" si="9"/>
        <v/>
      </c>
      <c r="AT82" s="326">
        <f t="shared" ca="1" si="12"/>
        <v>0</v>
      </c>
      <c r="AU82" s="326"/>
      <c r="AV82" s="326">
        <f t="shared" ca="1" si="10"/>
        <v>0</v>
      </c>
      <c r="AW82" s="326">
        <f t="shared" ca="1" si="13"/>
        <v>0</v>
      </c>
      <c r="AX82" s="288">
        <f t="shared" ref="AX82:AX114" ca="1" si="14">IF(ISNUMBER(AS83),SUM(AU82:AV82),SUM(AU82:AW82))</f>
        <v>0</v>
      </c>
      <c r="AY82" s="327">
        <f t="shared" ca="1" si="8"/>
        <v>0</v>
      </c>
      <c r="AZ82" s="288">
        <f t="shared" ca="1" si="11"/>
        <v>0</v>
      </c>
      <c r="BA82" s="288"/>
    </row>
    <row r="83" spans="45:53" s="246" customFormat="1" ht="15" x14ac:dyDescent="0.2">
      <c r="AS83" s="288" t="str">
        <f t="shared" ca="1" si="9"/>
        <v/>
      </c>
      <c r="AT83" s="326">
        <f t="shared" ca="1" si="12"/>
        <v>0</v>
      </c>
      <c r="AU83" s="326"/>
      <c r="AV83" s="326">
        <f t="shared" ca="1" si="10"/>
        <v>0</v>
      </c>
      <c r="AW83" s="326">
        <f t="shared" ca="1" si="13"/>
        <v>0</v>
      </c>
      <c r="AX83" s="288">
        <f t="shared" ca="1" si="14"/>
        <v>0</v>
      </c>
      <c r="AY83" s="327">
        <f t="shared" ca="1" si="8"/>
        <v>0</v>
      </c>
      <c r="AZ83" s="288">
        <f t="shared" ca="1" si="11"/>
        <v>0</v>
      </c>
      <c r="BA83" s="288"/>
    </row>
    <row r="84" spans="45:53" s="246" customFormat="1" ht="15" x14ac:dyDescent="0.2">
      <c r="AS84" s="288" t="str">
        <f t="shared" ca="1" si="9"/>
        <v/>
      </c>
      <c r="AT84" s="326">
        <f t="shared" ca="1" si="12"/>
        <v>0</v>
      </c>
      <c r="AU84" s="326"/>
      <c r="AV84" s="326">
        <f t="shared" ca="1" si="10"/>
        <v>0</v>
      </c>
      <c r="AW84" s="326">
        <f t="shared" ca="1" si="13"/>
        <v>0</v>
      </c>
      <c r="AX84" s="288">
        <f t="shared" ca="1" si="14"/>
        <v>0</v>
      </c>
      <c r="AY84" s="327">
        <f t="shared" ca="1" si="8"/>
        <v>0</v>
      </c>
      <c r="AZ84" s="288">
        <f t="shared" ca="1" si="11"/>
        <v>0</v>
      </c>
      <c r="BA84" s="288"/>
    </row>
    <row r="85" spans="45:53" s="246" customFormat="1" ht="15" x14ac:dyDescent="0.2">
      <c r="AS85" s="288" t="str">
        <f t="shared" ca="1" si="9"/>
        <v/>
      </c>
      <c r="AT85" s="326">
        <f t="shared" ca="1" si="12"/>
        <v>0</v>
      </c>
      <c r="AU85" s="326"/>
      <c r="AV85" s="326">
        <f t="shared" ca="1" si="10"/>
        <v>0</v>
      </c>
      <c r="AW85" s="326">
        <f t="shared" ca="1" si="13"/>
        <v>0</v>
      </c>
      <c r="AX85" s="288">
        <f t="shared" ca="1" si="14"/>
        <v>0</v>
      </c>
      <c r="AY85" s="327">
        <f t="shared" ca="1" si="8"/>
        <v>0</v>
      </c>
      <c r="AZ85" s="288">
        <f t="shared" ca="1" si="11"/>
        <v>0</v>
      </c>
      <c r="BA85" s="288"/>
    </row>
    <row r="86" spans="45:53" s="246" customFormat="1" ht="15" x14ac:dyDescent="0.2">
      <c r="AS86" s="288" t="str">
        <f t="shared" ca="1" si="9"/>
        <v/>
      </c>
      <c r="AT86" s="326">
        <f t="shared" ca="1" si="12"/>
        <v>0</v>
      </c>
      <c r="AU86" s="326"/>
      <c r="AV86" s="326">
        <f t="shared" ca="1" si="10"/>
        <v>0</v>
      </c>
      <c r="AW86" s="326">
        <f t="shared" ca="1" si="13"/>
        <v>0</v>
      </c>
      <c r="AX86" s="288">
        <f t="shared" ca="1" si="14"/>
        <v>0</v>
      </c>
      <c r="AY86" s="327">
        <f t="shared" ca="1" si="8"/>
        <v>0</v>
      </c>
      <c r="AZ86" s="288">
        <f t="shared" ca="1" si="11"/>
        <v>0</v>
      </c>
      <c r="BA86" s="288"/>
    </row>
    <row r="87" spans="45:53" s="246" customFormat="1" ht="15" x14ac:dyDescent="0.2">
      <c r="AS87" s="288" t="str">
        <f t="shared" ca="1" si="9"/>
        <v/>
      </c>
      <c r="AT87" s="326">
        <f t="shared" ca="1" si="12"/>
        <v>0</v>
      </c>
      <c r="AU87" s="326"/>
      <c r="AV87" s="326">
        <f t="shared" ca="1" si="10"/>
        <v>0</v>
      </c>
      <c r="AW87" s="326">
        <f t="shared" ca="1" si="13"/>
        <v>0</v>
      </c>
      <c r="AX87" s="288">
        <f t="shared" ca="1" si="14"/>
        <v>0</v>
      </c>
      <c r="AY87" s="327">
        <f t="shared" ca="1" si="8"/>
        <v>0</v>
      </c>
      <c r="AZ87" s="288">
        <f t="shared" ca="1" si="11"/>
        <v>0</v>
      </c>
      <c r="BA87" s="288"/>
    </row>
    <row r="88" spans="45:53" s="246" customFormat="1" ht="15" x14ac:dyDescent="0.2">
      <c r="AS88" s="288" t="str">
        <f t="shared" ca="1" si="9"/>
        <v/>
      </c>
      <c r="AT88" s="326">
        <f t="shared" ca="1" si="12"/>
        <v>0</v>
      </c>
      <c r="AU88" s="326"/>
      <c r="AV88" s="326">
        <f t="shared" ca="1" si="10"/>
        <v>0</v>
      </c>
      <c r="AW88" s="326">
        <f t="shared" ca="1" si="13"/>
        <v>0</v>
      </c>
      <c r="AX88" s="288">
        <f t="shared" ca="1" si="14"/>
        <v>0</v>
      </c>
      <c r="AY88" s="327">
        <f t="shared" ca="1" si="8"/>
        <v>0</v>
      </c>
      <c r="AZ88" s="288">
        <f t="shared" ca="1" si="11"/>
        <v>0</v>
      </c>
      <c r="BA88" s="288"/>
    </row>
    <row r="89" spans="45:53" s="246" customFormat="1" ht="15" x14ac:dyDescent="0.2">
      <c r="AS89" s="288" t="str">
        <f t="shared" ca="1" si="9"/>
        <v/>
      </c>
      <c r="AT89" s="326">
        <f t="shared" ca="1" si="12"/>
        <v>0</v>
      </c>
      <c r="AU89" s="326"/>
      <c r="AV89" s="326">
        <f t="shared" ca="1" si="10"/>
        <v>0</v>
      </c>
      <c r="AW89" s="326">
        <f t="shared" ca="1" si="13"/>
        <v>0</v>
      </c>
      <c r="AX89" s="288">
        <f t="shared" ca="1" si="14"/>
        <v>0</v>
      </c>
      <c r="AY89" s="327">
        <f t="shared" ca="1" si="8"/>
        <v>0</v>
      </c>
      <c r="AZ89" s="288">
        <f t="shared" ca="1" si="11"/>
        <v>0</v>
      </c>
      <c r="BA89" s="288"/>
    </row>
    <row r="90" spans="45:53" s="246" customFormat="1" ht="15" x14ac:dyDescent="0.2">
      <c r="AS90" s="288" t="str">
        <f t="shared" ca="1" si="9"/>
        <v/>
      </c>
      <c r="AT90" s="326">
        <f t="shared" ca="1" si="12"/>
        <v>0</v>
      </c>
      <c r="AU90" s="326"/>
      <c r="AV90" s="326">
        <f t="shared" ca="1" si="10"/>
        <v>0</v>
      </c>
      <c r="AW90" s="326">
        <f t="shared" ca="1" si="13"/>
        <v>0</v>
      </c>
      <c r="AX90" s="288">
        <f t="shared" ca="1" si="14"/>
        <v>0</v>
      </c>
      <c r="AY90" s="327">
        <f t="shared" ca="1" si="8"/>
        <v>0</v>
      </c>
      <c r="AZ90" s="288">
        <f t="shared" ca="1" si="11"/>
        <v>0</v>
      </c>
      <c r="BA90" s="288"/>
    </row>
    <row r="91" spans="45:53" s="246" customFormat="1" ht="15" x14ac:dyDescent="0.2">
      <c r="AS91" s="288" t="str">
        <f t="shared" ca="1" si="9"/>
        <v/>
      </c>
      <c r="AT91" s="326">
        <f t="shared" ca="1" si="12"/>
        <v>0</v>
      </c>
      <c r="AU91" s="326"/>
      <c r="AV91" s="326">
        <f t="shared" ca="1" si="10"/>
        <v>0</v>
      </c>
      <c r="AW91" s="326">
        <f t="shared" ca="1" si="13"/>
        <v>0</v>
      </c>
      <c r="AX91" s="288">
        <f t="shared" ca="1" si="14"/>
        <v>0</v>
      </c>
      <c r="AY91" s="327">
        <f t="shared" ca="1" si="8"/>
        <v>0</v>
      </c>
      <c r="AZ91" s="288">
        <f t="shared" ca="1" si="11"/>
        <v>0</v>
      </c>
      <c r="BA91" s="288"/>
    </row>
    <row r="92" spans="45:53" s="246" customFormat="1" ht="15" x14ac:dyDescent="0.2">
      <c r="AS92" s="288" t="str">
        <f t="shared" ca="1" si="9"/>
        <v/>
      </c>
      <c r="AT92" s="326">
        <f t="shared" ca="1" si="12"/>
        <v>0</v>
      </c>
      <c r="AU92" s="326"/>
      <c r="AV92" s="326">
        <f t="shared" ca="1" si="10"/>
        <v>0</v>
      </c>
      <c r="AW92" s="326">
        <f t="shared" ca="1" si="13"/>
        <v>0</v>
      </c>
      <c r="AX92" s="288">
        <f t="shared" ca="1" si="14"/>
        <v>0</v>
      </c>
      <c r="AY92" s="327">
        <f t="shared" ca="1" si="8"/>
        <v>0</v>
      </c>
      <c r="AZ92" s="288">
        <f t="shared" ca="1" si="11"/>
        <v>0</v>
      </c>
      <c r="BA92" s="288"/>
    </row>
    <row r="93" spans="45:53" s="246" customFormat="1" ht="15" x14ac:dyDescent="0.2">
      <c r="AS93" s="288" t="str">
        <f t="shared" ca="1" si="9"/>
        <v/>
      </c>
      <c r="AT93" s="326">
        <f t="shared" ca="1" si="12"/>
        <v>0</v>
      </c>
      <c r="AU93" s="326"/>
      <c r="AV93" s="326">
        <f t="shared" ca="1" si="10"/>
        <v>0</v>
      </c>
      <c r="AW93" s="326">
        <f t="shared" ca="1" si="13"/>
        <v>0</v>
      </c>
      <c r="AX93" s="288">
        <f t="shared" ca="1" si="14"/>
        <v>0</v>
      </c>
      <c r="AY93" s="327">
        <f t="shared" ca="1" si="8"/>
        <v>0</v>
      </c>
      <c r="AZ93" s="288">
        <f t="shared" ca="1" si="11"/>
        <v>0</v>
      </c>
      <c r="BA93" s="288"/>
    </row>
    <row r="94" spans="45:53" s="246" customFormat="1" ht="15" x14ac:dyDescent="0.2">
      <c r="AS94" s="288" t="str">
        <f t="shared" ca="1" si="9"/>
        <v/>
      </c>
      <c r="AT94" s="326">
        <f t="shared" ca="1" si="12"/>
        <v>0</v>
      </c>
      <c r="AU94" s="326"/>
      <c r="AV94" s="326">
        <f t="shared" ca="1" si="10"/>
        <v>0</v>
      </c>
      <c r="AW94" s="326">
        <f t="shared" ca="1" si="13"/>
        <v>0</v>
      </c>
      <c r="AX94" s="288">
        <f t="shared" ca="1" si="14"/>
        <v>0</v>
      </c>
      <c r="AY94" s="327">
        <f t="shared" ca="1" si="8"/>
        <v>0</v>
      </c>
      <c r="AZ94" s="288">
        <f t="shared" ca="1" si="11"/>
        <v>0</v>
      </c>
      <c r="BA94" s="288"/>
    </row>
    <row r="95" spans="45:53" s="246" customFormat="1" ht="15" x14ac:dyDescent="0.2">
      <c r="AS95" s="288" t="str">
        <f t="shared" ca="1" si="9"/>
        <v/>
      </c>
      <c r="AT95" s="326">
        <f t="shared" ca="1" si="12"/>
        <v>0</v>
      </c>
      <c r="AU95" s="326"/>
      <c r="AV95" s="326">
        <f t="shared" ca="1" si="10"/>
        <v>0</v>
      </c>
      <c r="AW95" s="326">
        <f t="shared" ca="1" si="13"/>
        <v>0</v>
      </c>
      <c r="AX95" s="288">
        <f t="shared" ca="1" si="14"/>
        <v>0</v>
      </c>
      <c r="AY95" s="327">
        <f t="shared" ca="1" si="8"/>
        <v>0</v>
      </c>
      <c r="AZ95" s="288">
        <f t="shared" ca="1" si="11"/>
        <v>0</v>
      </c>
      <c r="BA95" s="288"/>
    </row>
    <row r="96" spans="45:53" s="246" customFormat="1" ht="15" x14ac:dyDescent="0.2">
      <c r="AS96" s="288" t="str">
        <f t="shared" ca="1" si="9"/>
        <v/>
      </c>
      <c r="AT96" s="326">
        <f t="shared" ca="1" si="12"/>
        <v>0</v>
      </c>
      <c r="AU96" s="326"/>
      <c r="AV96" s="326">
        <f t="shared" ca="1" si="10"/>
        <v>0</v>
      </c>
      <c r="AW96" s="326">
        <f t="shared" ca="1" si="13"/>
        <v>0</v>
      </c>
      <c r="AX96" s="288">
        <f t="shared" ca="1" si="14"/>
        <v>0</v>
      </c>
      <c r="AY96" s="327">
        <f t="shared" ca="1" si="8"/>
        <v>0</v>
      </c>
      <c r="AZ96" s="288">
        <f t="shared" ca="1" si="11"/>
        <v>0</v>
      </c>
      <c r="BA96" s="288"/>
    </row>
    <row r="97" spans="45:53" s="246" customFormat="1" ht="15" x14ac:dyDescent="0.2">
      <c r="AS97" s="288" t="str">
        <f t="shared" ca="1" si="9"/>
        <v/>
      </c>
      <c r="AT97" s="326">
        <f t="shared" ca="1" si="12"/>
        <v>0</v>
      </c>
      <c r="AU97" s="326"/>
      <c r="AV97" s="326">
        <f t="shared" ca="1" si="10"/>
        <v>0</v>
      </c>
      <c r="AW97" s="326">
        <f t="shared" ca="1" si="13"/>
        <v>0</v>
      </c>
      <c r="AX97" s="288">
        <f t="shared" ca="1" si="14"/>
        <v>0</v>
      </c>
      <c r="AY97" s="327">
        <f t="shared" ca="1" si="8"/>
        <v>0</v>
      </c>
      <c r="AZ97" s="288">
        <f t="shared" ca="1" si="11"/>
        <v>0</v>
      </c>
      <c r="BA97" s="288"/>
    </row>
    <row r="98" spans="45:53" s="246" customFormat="1" ht="15" x14ac:dyDescent="0.2">
      <c r="AS98" s="288" t="str">
        <f t="shared" ca="1" si="9"/>
        <v/>
      </c>
      <c r="AT98" s="326">
        <f t="shared" ca="1" si="12"/>
        <v>0</v>
      </c>
      <c r="AU98" s="326"/>
      <c r="AV98" s="326">
        <f t="shared" ca="1" si="10"/>
        <v>0</v>
      </c>
      <c r="AW98" s="326">
        <f t="shared" ca="1" si="13"/>
        <v>0</v>
      </c>
      <c r="AX98" s="288">
        <f t="shared" ca="1" si="14"/>
        <v>0</v>
      </c>
      <c r="AY98" s="327">
        <f t="shared" ca="1" si="8"/>
        <v>0</v>
      </c>
      <c r="AZ98" s="288">
        <f t="shared" ca="1" si="11"/>
        <v>0</v>
      </c>
      <c r="BA98" s="288"/>
    </row>
    <row r="99" spans="45:53" s="246" customFormat="1" ht="15" x14ac:dyDescent="0.2">
      <c r="AS99" s="288" t="str">
        <f t="shared" ca="1" si="9"/>
        <v/>
      </c>
      <c r="AT99" s="326">
        <f t="shared" ca="1" si="12"/>
        <v>0</v>
      </c>
      <c r="AU99" s="326"/>
      <c r="AV99" s="326">
        <f t="shared" ca="1" si="10"/>
        <v>0</v>
      </c>
      <c r="AW99" s="326">
        <f t="shared" ca="1" si="13"/>
        <v>0</v>
      </c>
      <c r="AX99" s="288">
        <f t="shared" ca="1" si="14"/>
        <v>0</v>
      </c>
      <c r="AY99" s="327">
        <f t="shared" ca="1" si="8"/>
        <v>0</v>
      </c>
      <c r="AZ99" s="288">
        <f t="shared" ca="1" si="11"/>
        <v>0</v>
      </c>
      <c r="BA99" s="288"/>
    </row>
    <row r="100" spans="45:53" s="246" customFormat="1" ht="15" x14ac:dyDescent="0.2">
      <c r="AS100" s="288" t="str">
        <f t="shared" ca="1" si="9"/>
        <v/>
      </c>
      <c r="AT100" s="326">
        <f t="shared" ca="1" si="12"/>
        <v>0</v>
      </c>
      <c r="AU100" s="326"/>
      <c r="AV100" s="326">
        <f t="shared" ca="1" si="10"/>
        <v>0</v>
      </c>
      <c r="AW100" s="326">
        <f t="shared" ca="1" si="13"/>
        <v>0</v>
      </c>
      <c r="AX100" s="288">
        <f t="shared" ca="1" si="14"/>
        <v>0</v>
      </c>
      <c r="AY100" s="327">
        <f t="shared" ca="1" si="8"/>
        <v>0</v>
      </c>
      <c r="AZ100" s="288">
        <f t="shared" ca="1" si="11"/>
        <v>0</v>
      </c>
      <c r="BA100" s="288"/>
    </row>
    <row r="101" spans="45:53" s="246" customFormat="1" ht="15" x14ac:dyDescent="0.2">
      <c r="AS101" s="288" t="str">
        <f t="shared" ca="1" si="9"/>
        <v/>
      </c>
      <c r="AT101" s="326">
        <f t="shared" ca="1" si="12"/>
        <v>0</v>
      </c>
      <c r="AU101" s="326"/>
      <c r="AV101" s="326">
        <f t="shared" ca="1" si="10"/>
        <v>0</v>
      </c>
      <c r="AW101" s="326">
        <f t="shared" ca="1" si="13"/>
        <v>0</v>
      </c>
      <c r="AX101" s="288">
        <f t="shared" ca="1" si="14"/>
        <v>0</v>
      </c>
      <c r="AY101" s="327">
        <f t="shared" ca="1" si="8"/>
        <v>0</v>
      </c>
      <c r="AZ101" s="288">
        <f t="shared" ca="1" si="11"/>
        <v>0</v>
      </c>
      <c r="BA101" s="288"/>
    </row>
    <row r="102" spans="45:53" s="246" customFormat="1" ht="15" x14ac:dyDescent="0.2">
      <c r="AS102" s="288" t="str">
        <f t="shared" ca="1" si="9"/>
        <v/>
      </c>
      <c r="AT102" s="326">
        <f t="shared" ca="1" si="12"/>
        <v>0</v>
      </c>
      <c r="AU102" s="326"/>
      <c r="AV102" s="326">
        <f t="shared" ca="1" si="10"/>
        <v>0</v>
      </c>
      <c r="AW102" s="326">
        <f t="shared" ca="1" si="13"/>
        <v>0</v>
      </c>
      <c r="AX102" s="288">
        <f t="shared" ca="1" si="14"/>
        <v>0</v>
      </c>
      <c r="AY102" s="327">
        <f t="shared" ca="1" si="8"/>
        <v>0</v>
      </c>
      <c r="AZ102" s="288">
        <f t="shared" ca="1" si="11"/>
        <v>0</v>
      </c>
      <c r="BA102" s="288"/>
    </row>
    <row r="103" spans="45:53" s="246" customFormat="1" ht="15" x14ac:dyDescent="0.2">
      <c r="AS103" s="288" t="str">
        <f t="shared" ca="1" si="9"/>
        <v/>
      </c>
      <c r="AT103" s="326">
        <f t="shared" ca="1" si="12"/>
        <v>0</v>
      </c>
      <c r="AU103" s="326"/>
      <c r="AV103" s="326">
        <f t="shared" ca="1" si="10"/>
        <v>0</v>
      </c>
      <c r="AW103" s="326">
        <f t="shared" ca="1" si="13"/>
        <v>0</v>
      </c>
      <c r="AX103" s="288">
        <f t="shared" ca="1" si="14"/>
        <v>0</v>
      </c>
      <c r="AY103" s="327">
        <f t="shared" ref="AY103:AY114" ca="1" si="15">LN(AX103+$J$37)-LN($J$37)</f>
        <v>0</v>
      </c>
      <c r="AZ103" s="288">
        <f t="shared" ca="1" si="11"/>
        <v>0</v>
      </c>
      <c r="BA103" s="288"/>
    </row>
    <row r="104" spans="45:53" s="246" customFormat="1" ht="15" x14ac:dyDescent="0.2">
      <c r="AS104" s="288" t="str">
        <f t="shared" ca="1" si="9"/>
        <v/>
      </c>
      <c r="AT104" s="326">
        <f t="shared" ca="1" si="12"/>
        <v>0</v>
      </c>
      <c r="AU104" s="326"/>
      <c r="AV104" s="326">
        <f t="shared" ca="1" si="10"/>
        <v>0</v>
      </c>
      <c r="AW104" s="326">
        <f t="shared" ca="1" si="13"/>
        <v>0</v>
      </c>
      <c r="AX104" s="288">
        <f t="shared" ca="1" si="14"/>
        <v>0</v>
      </c>
      <c r="AY104" s="327">
        <f t="shared" ca="1" si="15"/>
        <v>0</v>
      </c>
      <c r="AZ104" s="288">
        <f t="shared" ca="1" si="11"/>
        <v>0</v>
      </c>
      <c r="BA104" s="288"/>
    </row>
    <row r="105" spans="45:53" s="246" customFormat="1" ht="15" x14ac:dyDescent="0.2">
      <c r="AS105" s="288" t="str">
        <f t="shared" ca="1" si="9"/>
        <v/>
      </c>
      <c r="AT105" s="326">
        <f t="shared" ca="1" si="12"/>
        <v>0</v>
      </c>
      <c r="AU105" s="326"/>
      <c r="AV105" s="326">
        <f t="shared" ca="1" si="10"/>
        <v>0</v>
      </c>
      <c r="AW105" s="326">
        <f t="shared" ca="1" si="13"/>
        <v>0</v>
      </c>
      <c r="AX105" s="288">
        <f t="shared" ca="1" si="14"/>
        <v>0</v>
      </c>
      <c r="AY105" s="327">
        <f t="shared" ca="1" si="15"/>
        <v>0</v>
      </c>
      <c r="AZ105" s="288">
        <f t="shared" ca="1" si="11"/>
        <v>0</v>
      </c>
      <c r="BA105" s="288"/>
    </row>
    <row r="106" spans="45:53" s="246" customFormat="1" ht="15" x14ac:dyDescent="0.2">
      <c r="AS106" s="288" t="str">
        <f t="shared" ca="1" si="9"/>
        <v/>
      </c>
      <c r="AT106" s="326">
        <f t="shared" ca="1" si="12"/>
        <v>0</v>
      </c>
      <c r="AU106" s="326"/>
      <c r="AV106" s="326">
        <f t="shared" ca="1" si="10"/>
        <v>0</v>
      </c>
      <c r="AW106" s="326">
        <f t="shared" ca="1" si="13"/>
        <v>0</v>
      </c>
      <c r="AX106" s="288">
        <f t="shared" ca="1" si="14"/>
        <v>0</v>
      </c>
      <c r="AY106" s="327">
        <f t="shared" ca="1" si="15"/>
        <v>0</v>
      </c>
      <c r="AZ106" s="288">
        <f t="shared" ca="1" si="11"/>
        <v>0</v>
      </c>
      <c r="BA106" s="288"/>
    </row>
    <row r="107" spans="45:53" s="246" customFormat="1" ht="15" x14ac:dyDescent="0.2">
      <c r="AS107" s="288" t="str">
        <f t="shared" ca="1" si="9"/>
        <v/>
      </c>
      <c r="AT107" s="326">
        <f t="shared" ca="1" si="12"/>
        <v>0</v>
      </c>
      <c r="AU107" s="326"/>
      <c r="AV107" s="326">
        <f t="shared" ca="1" si="10"/>
        <v>0</v>
      </c>
      <c r="AW107" s="326">
        <f t="shared" ca="1" si="13"/>
        <v>0</v>
      </c>
      <c r="AX107" s="288">
        <f t="shared" ca="1" si="14"/>
        <v>0</v>
      </c>
      <c r="AY107" s="327">
        <f t="shared" ca="1" si="15"/>
        <v>0</v>
      </c>
      <c r="AZ107" s="288">
        <f t="shared" ca="1" si="11"/>
        <v>0</v>
      </c>
      <c r="BA107" s="288"/>
    </row>
    <row r="108" spans="45:53" s="246" customFormat="1" ht="15" x14ac:dyDescent="0.2">
      <c r="AS108" s="288" t="str">
        <f t="shared" ca="1" si="9"/>
        <v/>
      </c>
      <c r="AT108" s="326">
        <f t="shared" ca="1" si="12"/>
        <v>0</v>
      </c>
      <c r="AU108" s="326"/>
      <c r="AV108" s="326">
        <f t="shared" ca="1" si="10"/>
        <v>0</v>
      </c>
      <c r="AW108" s="326">
        <f t="shared" ca="1" si="13"/>
        <v>0</v>
      </c>
      <c r="AX108" s="288">
        <f t="shared" ca="1" si="14"/>
        <v>0</v>
      </c>
      <c r="AY108" s="327">
        <f t="shared" ca="1" si="15"/>
        <v>0</v>
      </c>
      <c r="AZ108" s="288">
        <f t="shared" ca="1" si="11"/>
        <v>0</v>
      </c>
      <c r="BA108" s="288"/>
    </row>
    <row r="109" spans="45:53" s="246" customFormat="1" ht="15" x14ac:dyDescent="0.2">
      <c r="AS109" s="288" t="str">
        <f t="shared" ca="1" si="9"/>
        <v/>
      </c>
      <c r="AT109" s="326">
        <f t="shared" ca="1" si="12"/>
        <v>0</v>
      </c>
      <c r="AU109" s="326"/>
      <c r="AV109" s="326">
        <f t="shared" ca="1" si="10"/>
        <v>0</v>
      </c>
      <c r="AW109" s="326">
        <f t="shared" ca="1" si="13"/>
        <v>0</v>
      </c>
      <c r="AX109" s="288">
        <f t="shared" ca="1" si="14"/>
        <v>0</v>
      </c>
      <c r="AY109" s="327">
        <f t="shared" ca="1" si="15"/>
        <v>0</v>
      </c>
      <c r="AZ109" s="288">
        <f t="shared" ca="1" si="11"/>
        <v>0</v>
      </c>
      <c r="BA109" s="288"/>
    </row>
    <row r="110" spans="45:53" s="246" customFormat="1" ht="15" x14ac:dyDescent="0.2">
      <c r="AS110" s="288" t="str">
        <f t="shared" ca="1" si="9"/>
        <v/>
      </c>
      <c r="AT110" s="326">
        <f t="shared" ca="1" si="12"/>
        <v>0</v>
      </c>
      <c r="AU110" s="326"/>
      <c r="AV110" s="326">
        <f t="shared" ca="1" si="10"/>
        <v>0</v>
      </c>
      <c r="AW110" s="326">
        <f t="shared" ca="1" si="13"/>
        <v>0</v>
      </c>
      <c r="AX110" s="288">
        <f t="shared" ca="1" si="14"/>
        <v>0</v>
      </c>
      <c r="AY110" s="327">
        <f t="shared" ca="1" si="15"/>
        <v>0</v>
      </c>
      <c r="AZ110" s="288">
        <f t="shared" ca="1" si="11"/>
        <v>0</v>
      </c>
      <c r="BA110" s="288"/>
    </row>
    <row r="111" spans="45:53" s="246" customFormat="1" ht="15" x14ac:dyDescent="0.2">
      <c r="AS111" s="288" t="str">
        <f t="shared" ca="1" si="9"/>
        <v/>
      </c>
      <c r="AT111" s="326">
        <f t="shared" ca="1" si="12"/>
        <v>0</v>
      </c>
      <c r="AU111" s="326"/>
      <c r="AV111" s="326">
        <f t="shared" ca="1" si="10"/>
        <v>0</v>
      </c>
      <c r="AW111" s="326">
        <f t="shared" ca="1" si="13"/>
        <v>0</v>
      </c>
      <c r="AX111" s="288">
        <f t="shared" ca="1" si="14"/>
        <v>0</v>
      </c>
      <c r="AY111" s="327">
        <f t="shared" ca="1" si="15"/>
        <v>0</v>
      </c>
      <c r="AZ111" s="288">
        <f t="shared" ca="1" si="11"/>
        <v>0</v>
      </c>
      <c r="BA111" s="288"/>
    </row>
    <row r="112" spans="45:53" s="246" customFormat="1" ht="15" x14ac:dyDescent="0.2">
      <c r="AS112" s="288" t="str">
        <f t="shared" ca="1" si="9"/>
        <v/>
      </c>
      <c r="AT112" s="326">
        <f t="shared" ca="1" si="12"/>
        <v>0</v>
      </c>
      <c r="AU112" s="326"/>
      <c r="AV112" s="326">
        <f t="shared" ca="1" si="10"/>
        <v>0</v>
      </c>
      <c r="AW112" s="326">
        <f t="shared" ca="1" si="13"/>
        <v>0</v>
      </c>
      <c r="AX112" s="288">
        <f t="shared" ca="1" si="14"/>
        <v>0</v>
      </c>
      <c r="AY112" s="327">
        <f t="shared" ca="1" si="15"/>
        <v>0</v>
      </c>
      <c r="AZ112" s="288">
        <f t="shared" ca="1" si="11"/>
        <v>0</v>
      </c>
      <c r="BA112" s="288"/>
    </row>
    <row r="113" spans="45:53" s="246" customFormat="1" ht="15" x14ac:dyDescent="0.2">
      <c r="AS113" s="288" t="str">
        <f t="shared" ca="1" si="9"/>
        <v/>
      </c>
      <c r="AT113" s="326">
        <f t="shared" ca="1" si="12"/>
        <v>0</v>
      </c>
      <c r="AU113" s="326"/>
      <c r="AV113" s="326">
        <f t="shared" ca="1" si="10"/>
        <v>0</v>
      </c>
      <c r="AW113" s="326">
        <f t="shared" ca="1" si="13"/>
        <v>0</v>
      </c>
      <c r="AX113" s="288">
        <f t="shared" ca="1" si="14"/>
        <v>0</v>
      </c>
      <c r="AY113" s="327">
        <f t="shared" ca="1" si="15"/>
        <v>0</v>
      </c>
      <c r="AZ113" s="288">
        <f t="shared" ca="1" si="11"/>
        <v>0</v>
      </c>
      <c r="BA113" s="288"/>
    </row>
    <row r="114" spans="45:53" s="246" customFormat="1" ht="15" x14ac:dyDescent="0.2">
      <c r="AS114" s="288" t="str">
        <f t="shared" ca="1" si="9"/>
        <v/>
      </c>
      <c r="AT114" s="326">
        <f t="shared" ca="1" si="12"/>
        <v>0</v>
      </c>
      <c r="AU114" s="326"/>
      <c r="AV114" s="326">
        <f t="shared" ca="1" si="10"/>
        <v>0</v>
      </c>
      <c r="AW114" s="326">
        <f t="shared" ca="1" si="13"/>
        <v>0</v>
      </c>
      <c r="AX114" s="288">
        <f t="shared" ca="1" si="14"/>
        <v>0</v>
      </c>
      <c r="AY114" s="327">
        <f t="shared" ca="1" si="15"/>
        <v>0</v>
      </c>
      <c r="AZ114" s="288">
        <f t="shared" ca="1" si="11"/>
        <v>0</v>
      </c>
      <c r="BA114" s="288"/>
    </row>
    <row r="115" spans="45:53" s="246" customFormat="1" ht="15" x14ac:dyDescent="0.2">
      <c r="BA115" s="288"/>
    </row>
    <row r="116" spans="45:53" s="246" customFormat="1" ht="15" x14ac:dyDescent="0.2">
      <c r="BA116" s="288"/>
    </row>
    <row r="117" spans="45:53" s="246" customFormat="1" ht="15" x14ac:dyDescent="0.2">
      <c r="BA117" s="288"/>
    </row>
    <row r="118" spans="45:53" s="246" customFormat="1" ht="15" x14ac:dyDescent="0.2">
      <c r="BA118" s="288"/>
    </row>
    <row r="119" spans="45:53" ht="15" x14ac:dyDescent="0.2">
      <c r="BA119" s="232"/>
    </row>
  </sheetData>
  <mergeCells count="68">
    <mergeCell ref="J37:N37"/>
    <mergeCell ref="O37:P37"/>
    <mergeCell ref="D38:G38"/>
    <mergeCell ref="R38:T38"/>
    <mergeCell ref="B23:E26"/>
    <mergeCell ref="F31:F34"/>
    <mergeCell ref="R33:V33"/>
    <mergeCell ref="B36:B38"/>
    <mergeCell ref="D36:F36"/>
    <mergeCell ref="H36:I36"/>
    <mergeCell ref="J36:N36"/>
    <mergeCell ref="O36:P36"/>
    <mergeCell ref="D37:F37"/>
    <mergeCell ref="H37:I37"/>
    <mergeCell ref="L17:M17"/>
    <mergeCell ref="T17:U17"/>
    <mergeCell ref="T18:U18"/>
    <mergeCell ref="T19:U19"/>
    <mergeCell ref="F21:F24"/>
    <mergeCell ref="Q21:Q25"/>
    <mergeCell ref="R21:S22"/>
    <mergeCell ref="U21:W22"/>
    <mergeCell ref="Q13:Q14"/>
    <mergeCell ref="T13:U13"/>
    <mergeCell ref="V13:W13"/>
    <mergeCell ref="B14:B18"/>
    <mergeCell ref="C14:C15"/>
    <mergeCell ref="D14:D15"/>
    <mergeCell ref="F14:F15"/>
    <mergeCell ref="G14:G15"/>
    <mergeCell ref="T14:U14"/>
    <mergeCell ref="V14:W14"/>
    <mergeCell ref="T15:U15"/>
    <mergeCell ref="C16:C17"/>
    <mergeCell ref="D16:D17"/>
    <mergeCell ref="F16:F17"/>
    <mergeCell ref="G16:G17"/>
    <mergeCell ref="T16:U16"/>
    <mergeCell ref="V10:W10"/>
    <mergeCell ref="Z10:AA10"/>
    <mergeCell ref="T11:U11"/>
    <mergeCell ref="V11:W11"/>
    <mergeCell ref="T12:U12"/>
    <mergeCell ref="V12:W12"/>
    <mergeCell ref="AE6:AE7"/>
    <mergeCell ref="B7:B11"/>
    <mergeCell ref="Q8:Q11"/>
    <mergeCell ref="T8:U8"/>
    <mergeCell ref="V8:W8"/>
    <mergeCell ref="C9:D9"/>
    <mergeCell ref="T9:U9"/>
    <mergeCell ref="V9:W9"/>
    <mergeCell ref="Z9:AA9"/>
    <mergeCell ref="T10:U10"/>
    <mergeCell ref="C6:D6"/>
    <mergeCell ref="I6:J6"/>
    <mergeCell ref="L6:M6"/>
    <mergeCell ref="T6:U6"/>
    <mergeCell ref="V6:W6"/>
    <mergeCell ref="AD6:AD7"/>
    <mergeCell ref="S2:T3"/>
    <mergeCell ref="Z2:AB3"/>
    <mergeCell ref="B4:D5"/>
    <mergeCell ref="F4:G5"/>
    <mergeCell ref="T4:U4"/>
    <mergeCell ref="V4:W4"/>
    <mergeCell ref="T5:U5"/>
    <mergeCell ref="V5:W5"/>
  </mergeCells>
  <phoneticPr fontId="49" type="noConversion"/>
  <dataValidations count="3">
    <dataValidation type="list" allowBlank="1" showInputMessage="1" sqref="K9">
      <formula1>$C$30:$G$30</formula1>
    </dataValidation>
    <dataValidation type="list" allowBlank="1" showInputMessage="1" sqref="K14">
      <formula1>$C$21:$G$21</formula1>
    </dataValidation>
    <dataValidation type="list" allowBlank="1" showInputMessage="1" sqref="K15">
      <formula1>$C$28:$G$28</formula1>
    </dataValidation>
  </dataValidations>
  <hyperlinks>
    <hyperlink ref="H38" r:id="rId1" location="Grantstructure"/>
    <hyperlink ref="W38" r:id="rId2"/>
  </hyperlinks>
  <pageMargins left="0.7" right="0.7" top="0.75" bottom="0.75" header="0.3" footer="0.3"/>
  <legacyDrawing r:id="rId3"/>
  <extLst>
    <ext xmlns:x14="http://schemas.microsoft.com/office/spreadsheetml/2009/9/main" uri="{CCE6A557-97BC-4b89-ADB6-D9C93CAAB3DF}">
      <x14:dataValidations xmlns:xm="http://schemas.microsoft.com/office/excel/2006/main" count="35">
        <x14:dataValidation type="list" allowBlank="1" showInputMessage="1">
          <x14:formula1>
            <xm:f>Parameters!$D$5:$H$5</xm:f>
          </x14:formula1>
          <xm:sqref>G7</xm:sqref>
        </x14:dataValidation>
        <x14:dataValidation type="list" allowBlank="1" showInputMessage="1">
          <x14:formula1>
            <xm:f>Parameters!$D$9:$H$9</xm:f>
          </x14:formula1>
          <xm:sqref>G10</xm:sqref>
        </x14:dataValidation>
        <x14:dataValidation type="list" allowBlank="1" showInputMessage="1">
          <x14:formula1>
            <xm:f>Parameters!$D$8:$H$8</xm:f>
          </x14:formula1>
          <xm:sqref>G8</xm:sqref>
        </x14:dataValidation>
        <x14:dataValidation type="list" allowBlank="1" showInputMessage="1">
          <x14:formula1>
            <xm:f>Parameters!$D$32:$H$32</xm:f>
          </x14:formula1>
          <xm:sqref>G18</xm:sqref>
        </x14:dataValidation>
        <x14:dataValidation type="list" allowBlank="1" showInputMessage="1">
          <x14:formula1>
            <xm:f>Parameters!$D$7:$H$7</xm:f>
          </x14:formula1>
          <xm:sqref>G9</xm:sqref>
        </x14:dataValidation>
        <x14:dataValidation type="list" allowBlank="1" showInputMessage="1">
          <x14:formula1>
            <xm:f>Parameters!$D$4:$H$4</xm:f>
          </x14:formula1>
          <xm:sqref>D7</xm:sqref>
        </x14:dataValidation>
        <x14:dataValidation type="list" allowBlank="1" showInputMessage="1">
          <x14:formula1>
            <xm:f>Parameters!$D$14:$H$14</xm:f>
          </x14:formula1>
          <xm:sqref>J17:K17</xm:sqref>
        </x14:dataValidation>
        <x14:dataValidation type="list" allowBlank="1" showInputMessage="1">
          <x14:formula1>
            <xm:f>Parameters!$D$17:$H$17</xm:f>
          </x14:formula1>
          <xm:sqref>J18:K18</xm:sqref>
        </x14:dataValidation>
        <x14:dataValidation type="list" allowBlank="1" showInputMessage="1">
          <x14:formula1>
            <xm:f>Parameters!$D$21:$H$21</xm:f>
          </x14:formula1>
          <xm:sqref>J16:K16</xm:sqref>
        </x14:dataValidation>
        <x14:dataValidation type="list" allowBlank="1" showInputMessage="1">
          <x14:formula1>
            <xm:f>Parameters!$D$18:$H$18</xm:f>
          </x14:formula1>
          <xm:sqref>J10</xm:sqref>
        </x14:dataValidation>
        <x14:dataValidation type="list" allowBlank="1" showInputMessage="1">
          <x14:formula1>
            <xm:f>Parameters!$E$23:$G$23</xm:f>
          </x14:formula1>
          <xm:sqref>K7</xm:sqref>
        </x14:dataValidation>
        <x14:dataValidation type="list" allowBlank="1" showInputMessage="1">
          <x14:formula1>
            <xm:f>Parameters!$D$23:$H$23</xm:f>
          </x14:formula1>
          <xm:sqref>J7</xm:sqref>
        </x14:dataValidation>
        <x14:dataValidation type="list" allowBlank="1" showInputMessage="1">
          <x14:formula1>
            <xm:f>Parameters!$E$16:$I$16</xm:f>
          </x14:formula1>
          <xm:sqref>K10</xm:sqref>
        </x14:dataValidation>
        <x14:dataValidation type="list" allowBlank="1" showInputMessage="1">
          <x14:formula1>
            <xm:f>Parameters!$D$16:$H$16</xm:f>
          </x14:formula1>
          <xm:sqref>J8</xm:sqref>
        </x14:dataValidation>
        <x14:dataValidation type="list" allowBlank="1" showInputMessage="1">
          <x14:formula1>
            <xm:f>Parameters!$D$36:$H$36</xm:f>
          </x14:formula1>
          <xm:sqref>M7</xm:sqref>
        </x14:dataValidation>
        <x14:dataValidation type="list" allowBlank="1" showInputMessage="1">
          <x14:formula1>
            <xm:f>Parameters!$D$37:$H$37</xm:f>
          </x14:formula1>
          <xm:sqref>M8</xm:sqref>
        </x14:dataValidation>
        <x14:dataValidation type="list" allowBlank="1" showInputMessage="1">
          <x14:formula1>
            <xm:f>Parameters!$D$38:$H$38</xm:f>
          </x14:formula1>
          <xm:sqref>M9</xm:sqref>
        </x14:dataValidation>
        <x14:dataValidation type="list" allowBlank="1" showInputMessage="1">
          <x14:formula1>
            <xm:f>Parameters!$D$39:$H$39</xm:f>
          </x14:formula1>
          <xm:sqref>M10</xm:sqref>
        </x14:dataValidation>
        <x14:dataValidation type="list" allowBlank="1" showInputMessage="1">
          <x14:formula1>
            <xm:f>Parameters!$D$40:$H$40</xm:f>
          </x14:formula1>
          <xm:sqref>M11</xm:sqref>
        </x14:dataValidation>
        <x14:dataValidation type="list" allowBlank="1" showInputMessage="1">
          <x14:formula1>
            <xm:f>Parameters!$D$41:$H$41</xm:f>
          </x14:formula1>
          <xm:sqref>M12</xm:sqref>
        </x14:dataValidation>
        <x14:dataValidation type="list" allowBlank="1" showInputMessage="1">
          <x14:formula1>
            <xm:f>Parameters!$D$42:$H$42</xm:f>
          </x14:formula1>
          <xm:sqref>M13</xm:sqref>
        </x14:dataValidation>
        <x14:dataValidation type="list" allowBlank="1" showInputMessage="1">
          <x14:formula1>
            <xm:f>Parameters!$D$43:$H$43</xm:f>
          </x14:formula1>
          <xm:sqref>M14</xm:sqref>
        </x14:dataValidation>
        <x14:dataValidation type="list" allowBlank="1" showInputMessage="1">
          <x14:formula1>
            <xm:f>Parameters!$D$44:$H$44</xm:f>
          </x14:formula1>
          <xm:sqref>M15</xm:sqref>
        </x14:dataValidation>
        <x14:dataValidation type="list" allowBlank="1" showInputMessage="1">
          <x14:formula1>
            <xm:f>Parameters!$D$25:$H$25</xm:f>
          </x14:formula1>
          <xm:sqref>J9</xm:sqref>
        </x14:dataValidation>
        <x14:dataValidation type="list" allowBlank="1" showInputMessage="1">
          <x14:formula1>
            <xm:f>Parameters!$D$24:$H$24</xm:f>
          </x14:formula1>
          <xm:sqref>J11</xm:sqref>
        </x14:dataValidation>
        <x14:dataValidation type="list" allowBlank="1" showInputMessage="1">
          <x14:formula1>
            <xm:f>Parameters!$D$15:$H$15</xm:f>
          </x14:formula1>
          <xm:sqref>J15</xm:sqref>
        </x14:dataValidation>
        <x14:dataValidation type="list" allowBlank="1" showInputMessage="1">
          <x14:formula1>
            <xm:f>Parameters!$D$22:$H$22</xm:f>
          </x14:formula1>
          <xm:sqref>J14</xm:sqref>
        </x14:dataValidation>
        <x14:dataValidation type="list" allowBlank="1" showInputMessage="1">
          <x14:formula1>
            <xm:f>Parameters!$D$28:$H$28</xm:f>
          </x14:formula1>
          <xm:sqref>G16</xm:sqref>
        </x14:dataValidation>
        <x14:dataValidation type="list" allowBlank="1" showInputMessage="1">
          <x14:formula1>
            <xm:f>Parameters!$D$10:$H$10</xm:f>
          </x14:formula1>
          <xm:sqref>G14</xm:sqref>
        </x14:dataValidation>
        <x14:dataValidation type="list" allowBlank="1" showInputMessage="1">
          <x14:formula1>
            <xm:f>Parameters!$D$56:$H$56</xm:f>
          </x14:formula1>
          <xm:sqref>D14</xm:sqref>
        </x14:dataValidation>
        <x14:dataValidation type="list" allowBlank="1" showInputMessage="1">
          <x14:formula1>
            <xm:f>Parameters!$D$54:$H$54</xm:f>
          </x14:formula1>
          <xm:sqref>D10:D11</xm:sqref>
        </x14:dataValidation>
        <x14:dataValidation type="list" allowBlank="1" showInputMessage="1">
          <x14:formula1>
            <xm:f>Parameters!$D$57:$H$57</xm:f>
          </x14:formula1>
          <xm:sqref>D16:D17</xm:sqref>
        </x14:dataValidation>
        <x14:dataValidation type="list" allowBlank="1" showInputMessage="1">
          <x14:formula1>
            <xm:f>Parameters!$D$33:$H$33</xm:f>
          </x14:formula1>
          <xm:sqref>G11</xm:sqref>
        </x14:dataValidation>
        <x14:dataValidation type="list" allowBlank="1" showInputMessage="1">
          <x14:formula1>
            <xm:f>Parameters!$D$6:$H$6</xm:f>
          </x14:formula1>
          <xm:sqref>G13</xm:sqref>
        </x14:dataValidation>
        <x14:dataValidation type="list" allowBlank="1" showInputMessage="1">
          <x14:formula1>
            <xm:f>Parameters!$D$51:$H$51</xm:f>
          </x14:formula1>
          <xm:sqref>M18</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B119"/>
  <sheetViews>
    <sheetView topLeftCell="G1" workbookViewId="0"/>
  </sheetViews>
  <sheetFormatPr baseColWidth="10" defaultColWidth="8.83203125" defaultRowHeight="11" x14ac:dyDescent="0.15"/>
  <cols>
    <col min="1" max="1" width="1.5" style="233" customWidth="1"/>
    <col min="2" max="2" width="9.5" style="233" customWidth="1"/>
    <col min="3" max="3" width="14.5" style="233" customWidth="1"/>
    <col min="4" max="4" width="5.83203125" style="233" customWidth="1"/>
    <col min="5" max="5" width="1.83203125" style="233" customWidth="1"/>
    <col min="6" max="6" width="21.5" style="233" customWidth="1"/>
    <col min="7" max="7" width="13.5" style="233" customWidth="1"/>
    <col min="8" max="8" width="1.5" style="233" customWidth="1"/>
    <col min="9" max="9" width="16.5" style="233" customWidth="1"/>
    <col min="10" max="10" width="8.5" style="233" customWidth="1"/>
    <col min="11" max="11" width="1.5" style="233" customWidth="1"/>
    <col min="12" max="12" width="22.83203125" style="233" customWidth="1"/>
    <col min="13" max="13" width="8.5" style="233" customWidth="1"/>
    <col min="14" max="14" width="0.83203125" style="233" customWidth="1"/>
    <col min="15" max="15" width="2.83203125" style="233" customWidth="1"/>
    <col min="16" max="16" width="2.5" style="233" customWidth="1"/>
    <col min="17" max="17" width="15.5" style="233" customWidth="1"/>
    <col min="18" max="18" width="30.83203125" style="233" customWidth="1"/>
    <col min="19" max="19" width="23.5" style="233" customWidth="1"/>
    <col min="20" max="20" width="1" style="233" customWidth="1"/>
    <col min="21" max="21" width="24.5" style="233" customWidth="1"/>
    <col min="22" max="23" width="12.5" style="233" customWidth="1"/>
    <col min="24" max="24" width="12.5" style="246" customWidth="1"/>
    <col min="25" max="25" width="13.5" style="233" customWidth="1"/>
    <col min="26" max="26" width="14.1640625" style="233" customWidth="1"/>
    <col min="27" max="28" width="11.5" style="233" customWidth="1"/>
    <col min="29" max="29" width="2.5" style="233" customWidth="1"/>
    <col min="30" max="30" width="28.5" style="233" customWidth="1"/>
    <col min="31" max="31" width="14.5" style="233" bestFit="1" customWidth="1"/>
    <col min="32" max="16384" width="8.83203125" style="233"/>
  </cols>
  <sheetData>
    <row r="1" spans="1:54" ht="6" customHeight="1" thickBot="1" x14ac:dyDescent="0.35">
      <c r="A1" s="274"/>
      <c r="B1" s="246"/>
      <c r="C1" s="246"/>
      <c r="D1" s="246"/>
      <c r="E1" s="246"/>
      <c r="F1" s="246"/>
      <c r="G1" s="246"/>
      <c r="H1" s="246"/>
      <c r="I1" s="246"/>
      <c r="J1" s="246"/>
      <c r="K1" s="246"/>
      <c r="L1" s="246"/>
      <c r="M1" s="246"/>
      <c r="N1" s="246"/>
      <c r="O1" s="246"/>
      <c r="P1" s="246"/>
      <c r="Q1" s="246"/>
      <c r="R1" s="254"/>
      <c r="S1" s="246"/>
      <c r="T1" s="246"/>
      <c r="U1" s="246"/>
      <c r="V1" s="246"/>
      <c r="W1" s="246"/>
      <c r="Y1" s="246"/>
      <c r="Z1" s="246"/>
      <c r="AA1" s="246"/>
      <c r="AB1" s="246"/>
      <c r="AC1" s="246"/>
      <c r="AD1" s="246"/>
      <c r="AE1" s="246"/>
      <c r="AF1" s="246"/>
      <c r="AG1" s="246"/>
      <c r="AH1" s="246"/>
      <c r="AI1" s="246"/>
      <c r="AJ1" s="246"/>
      <c r="AK1" s="246"/>
      <c r="AL1" s="246"/>
      <c r="AM1" s="246"/>
      <c r="AN1" s="246"/>
      <c r="AO1" s="246"/>
      <c r="AP1" s="246"/>
      <c r="AQ1" s="246"/>
    </row>
    <row r="2" spans="1:54" ht="15" customHeight="1" x14ac:dyDescent="0.25">
      <c r="A2" s="246"/>
      <c r="B2" s="246"/>
      <c r="C2" s="334"/>
      <c r="D2" s="249"/>
      <c r="E2" s="249"/>
      <c r="F2" s="246"/>
      <c r="G2" s="246"/>
      <c r="H2" s="246"/>
      <c r="I2" s="246"/>
      <c r="J2" s="246"/>
      <c r="K2" s="274"/>
      <c r="L2" s="386"/>
      <c r="M2" s="274"/>
      <c r="N2" s="246"/>
      <c r="O2" s="246"/>
      <c r="P2" s="246"/>
      <c r="Q2" s="246"/>
      <c r="S2" s="553" t="s">
        <v>409</v>
      </c>
      <c r="T2" s="554"/>
      <c r="U2" s="333"/>
      <c r="V2" s="333"/>
      <c r="W2" s="333"/>
      <c r="X2" s="333"/>
      <c r="Y2" s="246"/>
      <c r="Z2" s="557" t="s">
        <v>290</v>
      </c>
      <c r="AA2" s="657"/>
      <c r="AB2" s="658"/>
      <c r="AC2" s="246"/>
      <c r="AD2" s="246"/>
      <c r="AE2" s="246"/>
      <c r="AF2" s="246"/>
      <c r="AG2" s="246"/>
      <c r="AH2" s="246"/>
      <c r="AI2" s="246"/>
      <c r="AJ2" s="246"/>
      <c r="AK2" s="246"/>
      <c r="AL2" s="246"/>
      <c r="AM2" s="246"/>
      <c r="AN2" s="246"/>
      <c r="AO2" s="246"/>
      <c r="AP2" s="246"/>
      <c r="AQ2" s="246"/>
      <c r="AS2" s="232" t="s">
        <v>477</v>
      </c>
      <c r="AT2" s="232" t="s">
        <v>478</v>
      </c>
      <c r="AU2" s="232" t="s">
        <v>479</v>
      </c>
      <c r="AV2" s="232" t="s">
        <v>480</v>
      </c>
      <c r="AW2" s="232" t="s">
        <v>481</v>
      </c>
      <c r="AX2" s="232" t="s">
        <v>482</v>
      </c>
      <c r="AY2" s="232" t="s">
        <v>483</v>
      </c>
      <c r="AZ2" s="232" t="s">
        <v>432</v>
      </c>
      <c r="BA2" s="232" t="s">
        <v>485</v>
      </c>
    </row>
    <row r="3" spans="1:54" ht="19.5" customHeight="1" thickBot="1" x14ac:dyDescent="0.3">
      <c r="A3" s="246"/>
      <c r="B3" s="334"/>
      <c r="C3" s="334"/>
      <c r="D3" s="249"/>
      <c r="E3" s="249"/>
      <c r="F3" s="246"/>
      <c r="G3" s="246"/>
      <c r="H3" s="246"/>
      <c r="I3" s="246"/>
      <c r="J3" s="246"/>
      <c r="K3" s="274"/>
      <c r="L3" s="274"/>
      <c r="M3" s="274"/>
      <c r="N3" s="246"/>
      <c r="O3" s="246"/>
      <c r="P3" s="246"/>
      <c r="Q3" s="246"/>
      <c r="R3" s="333"/>
      <c r="S3" s="655"/>
      <c r="T3" s="656"/>
      <c r="U3" s="333"/>
      <c r="V3" s="333"/>
      <c r="W3" s="333"/>
      <c r="X3" s="333"/>
      <c r="Y3" s="246"/>
      <c r="Z3" s="659"/>
      <c r="AA3" s="660"/>
      <c r="AB3" s="661"/>
      <c r="AC3" s="246"/>
      <c r="AD3" s="246"/>
      <c r="AE3" s="246"/>
      <c r="AF3" s="246"/>
      <c r="AG3" s="246"/>
      <c r="AH3" s="246"/>
      <c r="AI3" s="246"/>
      <c r="AJ3" s="246"/>
      <c r="AK3" s="246"/>
      <c r="AL3" s="246"/>
      <c r="AM3" s="246"/>
      <c r="AN3" s="246"/>
      <c r="AO3" s="246"/>
      <c r="AP3" s="246"/>
      <c r="AQ3" s="246"/>
      <c r="AS3" s="232"/>
      <c r="AT3" s="232"/>
      <c r="AU3" s="232"/>
      <c r="AV3" s="232"/>
      <c r="AW3" s="232"/>
      <c r="AX3" s="232"/>
      <c r="AY3" s="232"/>
      <c r="AZ3" s="232"/>
      <c r="BA3" s="232"/>
    </row>
    <row r="4" spans="1:54" ht="40.75" customHeight="1" x14ac:dyDescent="0.2">
      <c r="A4" s="246"/>
      <c r="B4" s="563" t="s">
        <v>365</v>
      </c>
      <c r="C4" s="563"/>
      <c r="D4" s="563"/>
      <c r="E4" s="336"/>
      <c r="F4" s="565" t="s">
        <v>408</v>
      </c>
      <c r="G4" s="566"/>
      <c r="H4" s="249"/>
      <c r="I4" s="246"/>
      <c r="J4" s="246"/>
      <c r="K4" s="246"/>
      <c r="L4" s="246"/>
      <c r="M4" s="246"/>
      <c r="N4" s="277"/>
      <c r="O4" s="277"/>
      <c r="P4" s="277"/>
      <c r="Q4" s="332"/>
      <c r="R4" s="457" t="s">
        <v>393</v>
      </c>
      <c r="S4" s="457" t="s">
        <v>245</v>
      </c>
      <c r="T4" s="569" t="s">
        <v>244</v>
      </c>
      <c r="U4" s="569"/>
      <c r="V4" s="569" t="s">
        <v>395</v>
      </c>
      <c r="W4" s="570"/>
      <c r="X4" s="238"/>
      <c r="Y4" s="246"/>
      <c r="Z4" s="369" t="s">
        <v>291</v>
      </c>
      <c r="AA4" s="370"/>
      <c r="AB4" s="371"/>
      <c r="AC4" s="242"/>
      <c r="AD4" s="372" t="s">
        <v>292</v>
      </c>
      <c r="AE4" s="373"/>
      <c r="AF4" s="246"/>
      <c r="AG4" s="246"/>
      <c r="AH4" s="246"/>
      <c r="AI4" s="246"/>
      <c r="AJ4" s="246"/>
      <c r="AK4" s="246"/>
      <c r="AL4" s="246"/>
      <c r="AM4" s="246"/>
      <c r="AN4" s="246"/>
      <c r="AO4" s="246"/>
      <c r="AP4" s="246"/>
      <c r="AQ4" s="246"/>
      <c r="AS4" s="232">
        <v>0</v>
      </c>
      <c r="AT4" s="278">
        <f>Q37</f>
        <v>212.7659574468085</v>
      </c>
      <c r="AU4" s="278">
        <f>(1-$D$11)*AT4</f>
        <v>106.38297872340425</v>
      </c>
      <c r="AV4" s="278"/>
      <c r="AW4" s="232"/>
      <c r="AX4" s="232">
        <f>IF(ISNUMBER(AS5),SUM(AU4:AV4),SUM(AU4:AW4))</f>
        <v>106.38297872340425</v>
      </c>
      <c r="AY4" s="279">
        <f t="shared" ref="AY4:AY30" si="0">LN(AX4+$J$37)-LN($J$37)</f>
        <v>0.31632022465180309</v>
      </c>
      <c r="AZ4" s="232">
        <f>IF(ISNUMBER(AS4),AY4/(1+$D$7)^AS4,0)</f>
        <v>0.31632022465180309</v>
      </c>
      <c r="BA4" s="232"/>
    </row>
    <row r="5" spans="1:54" ht="10.75" customHeight="1" thickBot="1" x14ac:dyDescent="0.25">
      <c r="A5" s="246"/>
      <c r="B5" s="564"/>
      <c r="C5" s="564"/>
      <c r="D5" s="564"/>
      <c r="E5" s="335"/>
      <c r="F5" s="567"/>
      <c r="G5" s="568"/>
      <c r="H5" s="256"/>
      <c r="I5" s="256"/>
      <c r="J5" s="246"/>
      <c r="K5" s="246"/>
      <c r="L5" s="246"/>
      <c r="M5" s="246"/>
      <c r="N5" s="246"/>
      <c r="O5" s="246"/>
      <c r="P5" s="246"/>
      <c r="Q5" s="459" t="s">
        <v>411</v>
      </c>
      <c r="R5" s="458">
        <f>D37/(1+D7)^10</f>
        <v>0.16514266520246426</v>
      </c>
      <c r="S5" s="458">
        <f>R5*(1-1/(1+D7)^G16)/(1-1/(1+D7))</f>
        <v>2.9753821155847677</v>
      </c>
      <c r="T5" s="571">
        <f>S5*G11*G7*G9*G18*G8/G37</f>
        <v>8.4043548288283781E-2</v>
      </c>
      <c r="U5" s="571"/>
      <c r="V5" s="572">
        <f>$G$14*$G$10</f>
        <v>2.347757333333333E-3</v>
      </c>
      <c r="W5" s="589"/>
      <c r="X5" s="238"/>
      <c r="Y5" s="246"/>
      <c r="Z5" s="357" t="s">
        <v>121</v>
      </c>
      <c r="AA5" s="358"/>
      <c r="AB5" s="359"/>
      <c r="AC5" s="247"/>
      <c r="AD5" s="238"/>
      <c r="AE5" s="244"/>
      <c r="AF5" s="246"/>
      <c r="AG5" s="246"/>
      <c r="AH5" s="246"/>
      <c r="AI5" s="246"/>
      <c r="AJ5" s="246"/>
      <c r="AK5" s="246"/>
      <c r="AL5" s="246"/>
      <c r="AM5" s="246"/>
      <c r="AN5" s="246"/>
      <c r="AO5" s="246"/>
      <c r="AP5" s="246"/>
      <c r="AQ5" s="246"/>
      <c r="AS5" s="232">
        <f t="shared" ref="AS5:AS68" si="1">IF(AS4&lt;$D$14,AS4+1,"")</f>
        <v>1</v>
      </c>
      <c r="AT5" s="278">
        <f>AT4-AU4</f>
        <v>106.38297872340425</v>
      </c>
      <c r="AU5" s="278"/>
      <c r="AV5" s="278">
        <f t="shared" ref="AV5:AV71" si="2">$D$10*AT5</f>
        <v>20.212765957446809</v>
      </c>
      <c r="AW5" s="278">
        <f>AT5</f>
        <v>106.38297872340425</v>
      </c>
      <c r="AX5" s="232">
        <f t="shared" ref="AX5:AX14" si="3">IF(ISNUMBER(AS6),SUM(AU5:AV5),SUM(AU5:AW5))</f>
        <v>20.212765957446809</v>
      </c>
      <c r="AY5" s="279">
        <f t="shared" si="0"/>
        <v>6.8306303745020891E-2</v>
      </c>
      <c r="AZ5" s="232">
        <f t="shared" ref="AZ5:AZ71" si="4">IF(ISNUMBER(AS5),AY5/(1+$D$7)^AS5,0)</f>
        <v>6.5053622614305612E-2</v>
      </c>
      <c r="BA5" s="232">
        <f>SUM(AZ5:AZ114)</f>
        <v>0.96365615609067312</v>
      </c>
      <c r="BB5" s="233">
        <f>SUM(AZ5:AZ23)</f>
        <v>0.82550359749644986</v>
      </c>
    </row>
    <row r="6" spans="1:54" ht="15" customHeight="1" x14ac:dyDescent="0.2">
      <c r="A6" s="246"/>
      <c r="B6" s="242"/>
      <c r="C6" s="587" t="s">
        <v>540</v>
      </c>
      <c r="D6" s="587"/>
      <c r="E6" s="271"/>
      <c r="F6" s="350" t="s">
        <v>541</v>
      </c>
      <c r="G6" s="351"/>
      <c r="H6" s="272"/>
      <c r="I6" s="587" t="s">
        <v>567</v>
      </c>
      <c r="J6" s="587"/>
      <c r="K6" s="272"/>
      <c r="L6" s="588" t="s">
        <v>390</v>
      </c>
      <c r="M6" s="588"/>
      <c r="N6" s="243"/>
      <c r="O6" s="238"/>
      <c r="P6" s="246"/>
      <c r="Q6" s="459" t="s">
        <v>412</v>
      </c>
      <c r="R6" s="458">
        <f>(M15*M11)/(1+D7)^10</f>
        <v>1.7680701701973868E-2</v>
      </c>
      <c r="S6" s="458">
        <f>R6*(1-1/(1+D7)^G16)/(1-1/(1+D7))</f>
        <v>0.31855392166855506</v>
      </c>
      <c r="T6" s="571">
        <f>S6*M8*M9*M14*(W37/V37)*G11</f>
        <v>8.2011919502850607E-3</v>
      </c>
      <c r="U6" s="571"/>
      <c r="V6" s="572">
        <v>0</v>
      </c>
      <c r="W6" s="589"/>
      <c r="X6" s="238"/>
      <c r="Y6" s="246"/>
      <c r="Z6" s="360" t="s">
        <v>570</v>
      </c>
      <c r="AA6" s="361"/>
      <c r="AB6" s="362">
        <f>$G$7*$G$8*$G$9*G$18*$J7</f>
        <v>3.4036796536796532E-2</v>
      </c>
      <c r="AC6" s="247"/>
      <c r="AD6" s="590" t="s">
        <v>123</v>
      </c>
      <c r="AE6" s="574">
        <f>G10</f>
        <v>1.3333333333333333</v>
      </c>
      <c r="AF6" s="246"/>
      <c r="AG6" s="246"/>
      <c r="AH6" s="246"/>
      <c r="AI6" s="246"/>
      <c r="AJ6" s="246"/>
      <c r="AK6" s="246"/>
      <c r="AL6" s="246"/>
      <c r="AM6" s="246"/>
      <c r="AN6" s="246"/>
      <c r="AO6" s="246"/>
      <c r="AP6" s="246"/>
      <c r="AQ6" s="246"/>
      <c r="AS6" s="232">
        <f t="shared" si="1"/>
        <v>2</v>
      </c>
      <c r="AT6" s="278">
        <f t="shared" ref="AT6:AT72" si="5">IF(ISNUMBER(AS6),AW5,0)</f>
        <v>106.38297872340425</v>
      </c>
      <c r="AU6" s="278"/>
      <c r="AV6" s="278">
        <f t="shared" si="2"/>
        <v>20.212765957446809</v>
      </c>
      <c r="AW6" s="278">
        <f t="shared" ref="AW6:AW72" si="6">AT6</f>
        <v>106.38297872340425</v>
      </c>
      <c r="AX6" s="232">
        <f t="shared" si="3"/>
        <v>20.212765957446809</v>
      </c>
      <c r="AY6" s="279">
        <f t="shared" si="0"/>
        <v>6.8306303745020891E-2</v>
      </c>
      <c r="AZ6" s="232">
        <f t="shared" si="4"/>
        <v>6.1955831061243437E-2</v>
      </c>
      <c r="BA6" s="232"/>
    </row>
    <row r="7" spans="1:54" ht="20.5" customHeight="1" x14ac:dyDescent="0.2">
      <c r="A7" s="246"/>
      <c r="B7" s="576" t="s">
        <v>573</v>
      </c>
      <c r="C7" s="301" t="s">
        <v>528</v>
      </c>
      <c r="D7" s="139">
        <v>0.05</v>
      </c>
      <c r="E7" s="234"/>
      <c r="F7" s="321" t="s">
        <v>532</v>
      </c>
      <c r="G7" s="338">
        <v>0.30254930254930251</v>
      </c>
      <c r="H7" s="236"/>
      <c r="I7" s="321" t="s">
        <v>536</v>
      </c>
      <c r="J7" s="381">
        <v>1</v>
      </c>
      <c r="K7" s="314"/>
      <c r="L7" s="321" t="s">
        <v>397</v>
      </c>
      <c r="M7" s="324">
        <v>0.1</v>
      </c>
      <c r="N7" s="244"/>
      <c r="O7" s="238"/>
      <c r="P7" s="246"/>
      <c r="Q7" s="247"/>
      <c r="R7" s="238"/>
      <c r="S7" s="238"/>
      <c r="T7" s="238"/>
      <c r="U7" s="318"/>
      <c r="V7" s="238"/>
      <c r="W7" s="244"/>
      <c r="X7" s="238"/>
      <c r="Y7" s="246"/>
      <c r="Z7" s="360" t="s">
        <v>560</v>
      </c>
      <c r="AA7" s="361"/>
      <c r="AB7" s="362">
        <f>$G$7*$G$8*$G$9*G$18*$J8</f>
        <v>3.4036796536796532E-2</v>
      </c>
      <c r="AC7" s="247"/>
      <c r="AD7" s="590"/>
      <c r="AE7" s="574"/>
      <c r="AF7" s="246"/>
      <c r="AG7" s="246"/>
      <c r="AH7" s="246"/>
      <c r="AI7" s="246"/>
      <c r="AJ7" s="246"/>
      <c r="AK7" s="246"/>
      <c r="AL7" s="246"/>
      <c r="AM7" s="246"/>
      <c r="AN7" s="246"/>
      <c r="AO7" s="246"/>
      <c r="AP7" s="246"/>
      <c r="AQ7" s="246"/>
      <c r="AS7" s="232">
        <f t="shared" si="1"/>
        <v>3</v>
      </c>
      <c r="AT7" s="278">
        <f>IF(ISNUMBER(AS7),AW6,0)</f>
        <v>106.38297872340425</v>
      </c>
      <c r="AU7" s="278"/>
      <c r="AV7" s="278">
        <f t="shared" si="2"/>
        <v>20.212765957446809</v>
      </c>
      <c r="AW7" s="278">
        <f t="shared" si="6"/>
        <v>106.38297872340425</v>
      </c>
      <c r="AX7" s="232">
        <f t="shared" si="3"/>
        <v>20.212765957446809</v>
      </c>
      <c r="AY7" s="279">
        <f t="shared" si="0"/>
        <v>6.8306303745020891E-2</v>
      </c>
      <c r="AZ7" s="232">
        <f t="shared" si="4"/>
        <v>5.9005553391660408E-2</v>
      </c>
      <c r="BA7" s="232"/>
    </row>
    <row r="8" spans="1:54" ht="25" customHeight="1" thickBot="1" x14ac:dyDescent="0.25">
      <c r="A8" s="246"/>
      <c r="B8" s="576"/>
      <c r="C8" s="294"/>
      <c r="D8" s="294"/>
      <c r="E8" s="273"/>
      <c r="F8" s="323" t="s">
        <v>534</v>
      </c>
      <c r="G8" s="245">
        <v>0.75</v>
      </c>
      <c r="H8" s="237"/>
      <c r="I8" s="312" t="s">
        <v>537</v>
      </c>
      <c r="J8" s="379">
        <v>1</v>
      </c>
      <c r="K8" s="315"/>
      <c r="L8" s="312" t="s">
        <v>391</v>
      </c>
      <c r="M8" s="313">
        <v>0.8</v>
      </c>
      <c r="N8" s="244"/>
      <c r="O8" s="238"/>
      <c r="P8" s="246"/>
      <c r="Q8" s="577" t="s">
        <v>413</v>
      </c>
      <c r="R8" s="238"/>
      <c r="S8" s="460" t="s">
        <v>246</v>
      </c>
      <c r="T8" s="578" t="s">
        <v>562</v>
      </c>
      <c r="U8" s="578"/>
      <c r="V8" s="578" t="s">
        <v>446</v>
      </c>
      <c r="W8" s="662"/>
      <c r="X8" s="238"/>
      <c r="Y8" s="246"/>
      <c r="Z8" s="360" t="s">
        <v>566</v>
      </c>
      <c r="AA8" s="361"/>
      <c r="AB8" s="444">
        <f>$G$7*$G$8*$G$9*G$18</f>
        <v>3.4036796536796532E-2</v>
      </c>
      <c r="AC8" s="374"/>
      <c r="AD8" s="375" t="s">
        <v>124</v>
      </c>
      <c r="AE8" s="376">
        <f>(AE6*U37)/S5</f>
        <v>16.367645602530864</v>
      </c>
      <c r="AF8" s="246"/>
      <c r="AG8" s="246"/>
      <c r="AH8" s="246"/>
      <c r="AI8" s="246"/>
      <c r="AJ8" s="246"/>
      <c r="AK8" s="246"/>
      <c r="AL8" s="246"/>
      <c r="AM8" s="246"/>
      <c r="AN8" s="246"/>
      <c r="AO8" s="246"/>
      <c r="AP8" s="246"/>
      <c r="AQ8" s="246"/>
      <c r="AS8" s="232">
        <f t="shared" si="1"/>
        <v>4</v>
      </c>
      <c r="AT8" s="278">
        <f t="shared" si="5"/>
        <v>106.38297872340425</v>
      </c>
      <c r="AU8" s="278"/>
      <c r="AV8" s="278">
        <f t="shared" si="2"/>
        <v>20.212765957446809</v>
      </c>
      <c r="AW8" s="278">
        <f t="shared" si="6"/>
        <v>106.38297872340425</v>
      </c>
      <c r="AX8" s="232">
        <f t="shared" si="3"/>
        <v>20.212765957446809</v>
      </c>
      <c r="AY8" s="279">
        <f t="shared" si="0"/>
        <v>6.8306303745020891E-2</v>
      </c>
      <c r="AZ8" s="232">
        <f t="shared" si="4"/>
        <v>5.6195765134914685E-2</v>
      </c>
      <c r="BA8" s="232"/>
    </row>
    <row r="9" spans="1:54" ht="33" x14ac:dyDescent="0.2">
      <c r="A9" s="246"/>
      <c r="B9" s="576"/>
      <c r="C9" s="581" t="s">
        <v>542</v>
      </c>
      <c r="D9" s="581"/>
      <c r="E9" s="234"/>
      <c r="F9" s="312" t="s">
        <v>440</v>
      </c>
      <c r="G9" s="313">
        <v>0.5</v>
      </c>
      <c r="H9" s="237"/>
      <c r="I9" s="312" t="s">
        <v>386</v>
      </c>
      <c r="J9" s="379">
        <v>1.17</v>
      </c>
      <c r="K9" s="315"/>
      <c r="L9" s="312" t="s">
        <v>392</v>
      </c>
      <c r="M9" s="313">
        <v>0.7</v>
      </c>
      <c r="N9" s="244"/>
      <c r="O9" s="238"/>
      <c r="P9" s="246"/>
      <c r="Q9" s="577"/>
      <c r="R9" s="253" t="s">
        <v>572</v>
      </c>
      <c r="S9" s="468">
        <f>J11*($T$5*AB13*J14*J7+$V$5*(J7*$G$13))</f>
        <v>8.3871730769518704E-2</v>
      </c>
      <c r="T9" s="582">
        <f>S9/(J16/J9)</f>
        <v>0.19241161764771936</v>
      </c>
      <c r="U9" s="582"/>
      <c r="V9" s="663">
        <f>($G$10*$U$37)/T9</f>
        <v>253.10322004133539</v>
      </c>
      <c r="W9" s="664"/>
      <c r="X9" s="238"/>
      <c r="Y9" s="387"/>
      <c r="Z9" s="585" t="s">
        <v>288</v>
      </c>
      <c r="AA9" s="665"/>
      <c r="AB9" s="411">
        <v>0.05</v>
      </c>
      <c r="AC9" s="246"/>
      <c r="AD9" s="246"/>
      <c r="AE9" s="388"/>
      <c r="AF9" s="246"/>
      <c r="AG9" s="246"/>
      <c r="AH9" s="246"/>
      <c r="AI9" s="246"/>
      <c r="AJ9" s="246"/>
      <c r="AK9" s="246"/>
      <c r="AL9" s="246"/>
      <c r="AM9" s="246"/>
      <c r="AN9" s="246"/>
      <c r="AO9" s="246"/>
      <c r="AP9" s="246"/>
      <c r="AQ9" s="246"/>
      <c r="AS9" s="232">
        <f t="shared" si="1"/>
        <v>5</v>
      </c>
      <c r="AT9" s="278">
        <f t="shared" si="5"/>
        <v>106.38297872340425</v>
      </c>
      <c r="AU9" s="278"/>
      <c r="AV9" s="278">
        <f t="shared" si="2"/>
        <v>20.212765957446809</v>
      </c>
      <c r="AW9" s="278">
        <f t="shared" si="6"/>
        <v>106.38297872340425</v>
      </c>
      <c r="AX9" s="232">
        <f>IF(ISNUMBER(AS10),SUM(AU9:AV9),SUM(AU9:AW9))</f>
        <v>20.212765957446809</v>
      </c>
      <c r="AY9" s="279">
        <f t="shared" si="0"/>
        <v>6.8306303745020891E-2</v>
      </c>
      <c r="AZ9" s="232">
        <f t="shared" si="4"/>
        <v>5.3519776318966358E-2</v>
      </c>
      <c r="BA9" s="232"/>
    </row>
    <row r="10" spans="1:54" ht="39.75" customHeight="1" x14ac:dyDescent="0.2">
      <c r="A10" s="246"/>
      <c r="B10" s="576"/>
      <c r="C10" s="291" t="s">
        <v>531</v>
      </c>
      <c r="D10" s="292">
        <v>0.19</v>
      </c>
      <c r="E10" s="284"/>
      <c r="F10" s="312" t="s">
        <v>231</v>
      </c>
      <c r="G10" s="503">
        <f>4/3</f>
        <v>1.3333333333333333</v>
      </c>
      <c r="H10" s="285"/>
      <c r="I10" s="312" t="s">
        <v>387</v>
      </c>
      <c r="J10" s="379">
        <v>1</v>
      </c>
      <c r="K10" s="315"/>
      <c r="L10" s="312" t="s">
        <v>406</v>
      </c>
      <c r="M10" s="313">
        <v>1</v>
      </c>
      <c r="N10" s="244"/>
      <c r="O10" s="238"/>
      <c r="P10" s="246"/>
      <c r="Q10" s="577"/>
      <c r="R10" s="253" t="s">
        <v>14</v>
      </c>
      <c r="S10" s="468">
        <f>J18*($T$5*AB14*J15*J8+$V$5*(J8*$G$13))</f>
        <v>9.4942636449041884E-2</v>
      </c>
      <c r="T10" s="582">
        <f>S10/(J17/J10)</f>
        <v>0.17940785421209729</v>
      </c>
      <c r="U10" s="582"/>
      <c r="V10" s="663">
        <f>($G$10*$U$37)/T10</f>
        <v>271.44853949608307</v>
      </c>
      <c r="W10" s="664"/>
      <c r="X10" s="238"/>
      <c r="Y10" s="246"/>
      <c r="Z10" s="592" t="s">
        <v>289</v>
      </c>
      <c r="AA10" s="666"/>
      <c r="AB10" s="377" t="s">
        <v>92</v>
      </c>
      <c r="AC10" s="246"/>
      <c r="AD10" s="387"/>
      <c r="AE10" s="388"/>
      <c r="AF10" s="246"/>
      <c r="AG10" s="246"/>
      <c r="AH10" s="246"/>
      <c r="AI10" s="246"/>
      <c r="AJ10" s="246"/>
      <c r="AK10" s="246"/>
      <c r="AL10" s="246"/>
      <c r="AM10" s="246"/>
      <c r="AN10" s="246"/>
      <c r="AO10" s="246"/>
      <c r="AP10" s="246"/>
      <c r="AQ10" s="246"/>
      <c r="AS10" s="232">
        <f t="shared" si="1"/>
        <v>6</v>
      </c>
      <c r="AT10" s="278">
        <f>IF(ISNUMBER(AS10),AW9,0)</f>
        <v>106.38297872340425</v>
      </c>
      <c r="AU10" s="278"/>
      <c r="AV10" s="278">
        <f t="shared" si="2"/>
        <v>20.212765957446809</v>
      </c>
      <c r="AW10" s="278">
        <f t="shared" si="6"/>
        <v>106.38297872340425</v>
      </c>
      <c r="AX10" s="232">
        <f>IF(ISNUMBER(AS11),SUM(AU10:AV10),SUM(AU10:AW10))</f>
        <v>20.212765957446809</v>
      </c>
      <c r="AY10" s="279">
        <f t="shared" si="0"/>
        <v>6.8306303745020891E-2</v>
      </c>
      <c r="AZ10" s="232">
        <f t="shared" si="4"/>
        <v>5.0971215541872728E-2</v>
      </c>
      <c r="BA10" s="232"/>
    </row>
    <row r="11" spans="1:54" ht="33" customHeight="1" x14ac:dyDescent="0.2">
      <c r="A11" s="246"/>
      <c r="B11" s="576"/>
      <c r="C11" s="298" t="s">
        <v>533</v>
      </c>
      <c r="D11" s="299">
        <v>0.5</v>
      </c>
      <c r="E11" s="235"/>
      <c r="F11" s="312" t="s">
        <v>241</v>
      </c>
      <c r="G11" s="503">
        <v>2</v>
      </c>
      <c r="H11" s="238"/>
      <c r="I11" s="312" t="s">
        <v>230</v>
      </c>
      <c r="J11" s="379">
        <f>2/3</f>
        <v>0.66666666666666663</v>
      </c>
      <c r="K11" s="315"/>
      <c r="L11" s="312" t="s">
        <v>405</v>
      </c>
      <c r="M11" s="313">
        <v>0.8</v>
      </c>
      <c r="N11" s="244"/>
      <c r="O11" s="246"/>
      <c r="P11" s="246"/>
      <c r="Q11" s="577"/>
      <c r="R11" s="253" t="s">
        <v>566</v>
      </c>
      <c r="S11" s="468" t="s">
        <v>120</v>
      </c>
      <c r="T11" s="582">
        <f>(1/S37)*(1/M18)*T5*AB15+(1/R37)*U37*G10</f>
        <v>3.4252224906639359E-2</v>
      </c>
      <c r="U11" s="582">
        <f>(1/S37)*(1/M18)*T5+1/R37*(G10*S5)</f>
        <v>1.3034141356805022E-2</v>
      </c>
      <c r="V11" s="663">
        <f>($G$10*$U$37)/T11</f>
        <v>1421.8054486311669</v>
      </c>
      <c r="W11" s="664"/>
      <c r="X11" s="238"/>
      <c r="Y11" s="246"/>
      <c r="Z11" s="247"/>
      <c r="AA11" s="238"/>
      <c r="AB11" s="244"/>
      <c r="AC11" s="246"/>
      <c r="AD11" s="246"/>
      <c r="AE11" s="246"/>
      <c r="AF11" s="246"/>
      <c r="AG11" s="246"/>
      <c r="AH11" s="246"/>
      <c r="AI11" s="246"/>
      <c r="AJ11" s="246"/>
      <c r="AK11" s="246"/>
      <c r="AL11" s="246"/>
      <c r="AM11" s="246"/>
      <c r="AN11" s="246"/>
      <c r="AO11" s="246"/>
      <c r="AP11" s="246"/>
      <c r="AQ11" s="246"/>
      <c r="AS11" s="232">
        <f t="shared" si="1"/>
        <v>7</v>
      </c>
      <c r="AT11" s="278">
        <f>IF(ISNUMBER(AS11),AW10,0)</f>
        <v>106.38297872340425</v>
      </c>
      <c r="AU11" s="278"/>
      <c r="AV11" s="278">
        <f t="shared" si="2"/>
        <v>20.212765957446809</v>
      </c>
      <c r="AW11" s="278">
        <f t="shared" si="6"/>
        <v>106.38297872340425</v>
      </c>
      <c r="AX11" s="232">
        <f>IF(ISNUMBER(AS12),SUM(AU11:AV11),SUM(AU11:AW11))</f>
        <v>20.212765957446809</v>
      </c>
      <c r="AY11" s="279">
        <f t="shared" si="0"/>
        <v>6.8306303745020891E-2</v>
      </c>
      <c r="AZ11" s="232">
        <f t="shared" si="4"/>
        <v>4.8544014801783546E-2</v>
      </c>
      <c r="BA11" s="232"/>
    </row>
    <row r="12" spans="1:54" ht="22.75" customHeight="1" thickBot="1" x14ac:dyDescent="0.25">
      <c r="A12" s="246"/>
      <c r="B12" s="247"/>
      <c r="C12" s="241"/>
      <c r="D12" s="240"/>
      <c r="E12" s="234"/>
      <c r="F12" s="390"/>
      <c r="G12" s="391"/>
      <c r="H12" s="241"/>
      <c r="I12" s="241"/>
      <c r="J12" s="380"/>
      <c r="K12" s="238"/>
      <c r="L12" s="312" t="s">
        <v>399</v>
      </c>
      <c r="M12" s="313">
        <v>0.66</v>
      </c>
      <c r="N12" s="244"/>
      <c r="O12" s="238"/>
      <c r="P12" s="246"/>
      <c r="Q12" s="293"/>
      <c r="R12" s="253" t="s">
        <v>396</v>
      </c>
      <c r="S12" s="468">
        <f>T6*M12</f>
        <v>5.4127866871881408E-3</v>
      </c>
      <c r="T12" s="667">
        <f>M13*S12/(M7/M10)</f>
        <v>2.7063933435940702E-2</v>
      </c>
      <c r="U12" s="667"/>
      <c r="V12" s="594" t="s">
        <v>120</v>
      </c>
      <c r="W12" s="595"/>
      <c r="X12" s="238"/>
      <c r="Y12" s="246"/>
      <c r="Z12" s="363" t="s">
        <v>286</v>
      </c>
      <c r="AA12" s="358"/>
      <c r="AB12" s="364"/>
      <c r="AC12" s="246"/>
      <c r="AD12" s="246"/>
      <c r="AE12" s="246"/>
      <c r="AF12" s="246"/>
      <c r="AG12" s="246"/>
      <c r="AH12" s="246"/>
      <c r="AI12" s="246"/>
      <c r="AJ12" s="246"/>
      <c r="AK12" s="246"/>
      <c r="AL12" s="246"/>
      <c r="AM12" s="246"/>
      <c r="AN12" s="246"/>
      <c r="AO12" s="246"/>
      <c r="AP12" s="246"/>
      <c r="AQ12" s="246"/>
      <c r="AS12" s="232">
        <f t="shared" si="1"/>
        <v>8</v>
      </c>
      <c r="AT12" s="278">
        <f>IF(ISNUMBER(AS12),AW11,0)</f>
        <v>106.38297872340425</v>
      </c>
      <c r="AU12" s="278"/>
      <c r="AV12" s="278">
        <f t="shared" si="2"/>
        <v>20.212765957446809</v>
      </c>
      <c r="AW12" s="278">
        <f t="shared" si="6"/>
        <v>106.38297872340425</v>
      </c>
      <c r="AX12" s="232">
        <f>IF(ISNUMBER(AS13),SUM(AU12:AV12),SUM(AU12:AW12))</f>
        <v>20.212765957446809</v>
      </c>
      <c r="AY12" s="279">
        <f t="shared" si="0"/>
        <v>6.8306303745020891E-2</v>
      </c>
      <c r="AZ12" s="232">
        <f t="shared" si="4"/>
        <v>4.6232395049317664E-2</v>
      </c>
      <c r="BA12" s="232"/>
    </row>
    <row r="13" spans="1:54" ht="30.75" customHeight="1" x14ac:dyDescent="0.2">
      <c r="A13" s="246"/>
      <c r="B13" s="247"/>
      <c r="C13" s="241"/>
      <c r="D13" s="240"/>
      <c r="E13" s="234"/>
      <c r="F13" s="461" t="s">
        <v>80</v>
      </c>
      <c r="G13" s="507">
        <v>1</v>
      </c>
      <c r="H13" s="238"/>
      <c r="I13" s="241"/>
      <c r="J13" s="380"/>
      <c r="K13" s="238"/>
      <c r="L13" s="312" t="s">
        <v>398</v>
      </c>
      <c r="M13" s="313">
        <v>0.5</v>
      </c>
      <c r="N13" s="244"/>
      <c r="O13" s="238"/>
      <c r="P13" s="246"/>
      <c r="Q13" s="596" t="s">
        <v>122</v>
      </c>
      <c r="R13" s="457" t="s">
        <v>442</v>
      </c>
      <c r="S13" s="457" t="s">
        <v>563</v>
      </c>
      <c r="T13" s="569" t="s">
        <v>564</v>
      </c>
      <c r="U13" s="569"/>
      <c r="V13" s="569" t="s">
        <v>562</v>
      </c>
      <c r="W13" s="570"/>
      <c r="X13" s="238"/>
      <c r="Y13" s="246"/>
      <c r="Z13" s="360" t="s">
        <v>570</v>
      </c>
      <c r="AA13" s="361"/>
      <c r="AB13" s="365">
        <f>IF($AB$10="Yes",MAX(AB6,$AB$9),AB6)/AB6</f>
        <v>1.468998410174881</v>
      </c>
      <c r="AC13" s="246"/>
      <c r="AD13" s="246"/>
      <c r="AE13" s="246"/>
      <c r="AF13" s="246"/>
      <c r="AG13" s="246"/>
      <c r="AH13" s="246"/>
      <c r="AI13" s="246"/>
      <c r="AJ13" s="246"/>
      <c r="AK13" s="246"/>
      <c r="AL13" s="246"/>
      <c r="AM13" s="246"/>
      <c r="AN13" s="246"/>
      <c r="AO13" s="246"/>
      <c r="AP13" s="246"/>
      <c r="AQ13" s="246"/>
      <c r="AS13" s="232">
        <f t="shared" si="1"/>
        <v>9</v>
      </c>
      <c r="AT13" s="278">
        <f>IF(ISNUMBER(AS13),AW12,0)</f>
        <v>106.38297872340425</v>
      </c>
      <c r="AU13" s="278"/>
      <c r="AV13" s="278">
        <f t="shared" si="2"/>
        <v>20.212765957446809</v>
      </c>
      <c r="AW13" s="278">
        <f t="shared" si="6"/>
        <v>106.38297872340425</v>
      </c>
      <c r="AX13" s="232">
        <f t="shared" si="3"/>
        <v>20.212765957446809</v>
      </c>
      <c r="AY13" s="279">
        <f t="shared" si="0"/>
        <v>6.8306303745020891E-2</v>
      </c>
      <c r="AZ13" s="232">
        <f t="shared" si="4"/>
        <v>4.4030852427921582E-2</v>
      </c>
      <c r="BA13" s="232"/>
    </row>
    <row r="14" spans="1:54" ht="21" customHeight="1" thickBot="1" x14ac:dyDescent="0.25">
      <c r="A14" s="246"/>
      <c r="B14" s="597" t="s">
        <v>366</v>
      </c>
      <c r="C14" s="598" t="s">
        <v>529</v>
      </c>
      <c r="D14" s="600">
        <v>20</v>
      </c>
      <c r="E14" s="235"/>
      <c r="F14" s="606" t="s">
        <v>530</v>
      </c>
      <c r="G14" s="669">
        <v>1.7608179999999999E-3</v>
      </c>
      <c r="H14" s="238"/>
      <c r="I14" s="300" t="s">
        <v>539</v>
      </c>
      <c r="J14" s="382">
        <v>1</v>
      </c>
      <c r="K14" s="316"/>
      <c r="L14" s="312" t="s">
        <v>400</v>
      </c>
      <c r="M14" s="313">
        <v>0.8</v>
      </c>
      <c r="N14" s="244"/>
      <c r="O14" s="238"/>
      <c r="P14" s="246"/>
      <c r="Q14" s="668"/>
      <c r="R14" s="462">
        <f>BA5</f>
        <v>0.96365615609067312</v>
      </c>
      <c r="S14" s="462">
        <f>AZ4</f>
        <v>0.31632022465180309</v>
      </c>
      <c r="T14" s="670">
        <f>R14+S14</f>
        <v>1.2799763807424762</v>
      </c>
      <c r="U14" s="670"/>
      <c r="V14" s="667">
        <f>T14/(Holden!Q37/Holden!D16)</f>
        <v>4.8608383035076289E-3</v>
      </c>
      <c r="W14" s="671"/>
      <c r="X14" s="238"/>
      <c r="Y14" s="387"/>
      <c r="Z14" s="360" t="s">
        <v>560</v>
      </c>
      <c r="AA14" s="361"/>
      <c r="AB14" s="365">
        <f>IF($AB$10="Yes",MAX(AB7,$AB$9),AB7)/AB7</f>
        <v>1.468998410174881</v>
      </c>
      <c r="AC14" s="246"/>
      <c r="AD14" s="246"/>
      <c r="AE14" s="246"/>
      <c r="AF14" s="246"/>
      <c r="AG14" s="246"/>
      <c r="AH14" s="246"/>
      <c r="AI14" s="246"/>
      <c r="AJ14" s="246"/>
      <c r="AK14" s="246"/>
      <c r="AL14" s="246"/>
      <c r="AM14" s="246"/>
      <c r="AN14" s="246"/>
      <c r="AO14" s="246"/>
      <c r="AP14" s="246"/>
      <c r="AQ14" s="246"/>
      <c r="AS14" s="232">
        <f t="shared" si="1"/>
        <v>10</v>
      </c>
      <c r="AT14" s="278">
        <f t="shared" si="5"/>
        <v>106.38297872340425</v>
      </c>
      <c r="AU14" s="278"/>
      <c r="AV14" s="278">
        <f t="shared" si="2"/>
        <v>20.212765957446809</v>
      </c>
      <c r="AW14" s="278">
        <f t="shared" si="6"/>
        <v>106.38297872340425</v>
      </c>
      <c r="AX14" s="232">
        <f t="shared" si="3"/>
        <v>20.212765957446809</v>
      </c>
      <c r="AY14" s="279">
        <f t="shared" si="0"/>
        <v>6.8306303745020891E-2</v>
      </c>
      <c r="AZ14" s="232">
        <f t="shared" si="4"/>
        <v>4.1934145169449127E-2</v>
      </c>
      <c r="BA14" s="232"/>
    </row>
    <row r="15" spans="1:54" ht="21" customHeight="1" thickBot="1" x14ac:dyDescent="0.25">
      <c r="A15" s="246"/>
      <c r="B15" s="597"/>
      <c r="C15" s="599"/>
      <c r="D15" s="601"/>
      <c r="E15" s="235"/>
      <c r="F15" s="599"/>
      <c r="G15" s="601"/>
      <c r="H15" s="238"/>
      <c r="I15" s="300" t="s">
        <v>538</v>
      </c>
      <c r="J15" s="383">
        <v>0.75</v>
      </c>
      <c r="K15" s="316"/>
      <c r="L15" s="322" t="s">
        <v>403</v>
      </c>
      <c r="M15" s="337">
        <v>3.5999999999999997E-2</v>
      </c>
      <c r="N15" s="244"/>
      <c r="O15" s="238"/>
      <c r="P15" s="246"/>
      <c r="Q15" s="463" t="s">
        <v>129</v>
      </c>
      <c r="R15" s="415"/>
      <c r="S15" s="465" t="s">
        <v>561</v>
      </c>
      <c r="T15" s="672" t="s">
        <v>560</v>
      </c>
      <c r="U15" s="672"/>
      <c r="V15" s="465" t="s">
        <v>566</v>
      </c>
      <c r="W15" s="430" t="s">
        <v>576</v>
      </c>
      <c r="X15" s="238"/>
      <c r="Y15" s="387"/>
      <c r="Z15" s="366" t="s">
        <v>566</v>
      </c>
      <c r="AA15" s="367"/>
      <c r="AB15" s="368">
        <f>IF($AB$10="Yes",MAX(AB8,$AB$9),AB8)/AB8</f>
        <v>1.468998410174881</v>
      </c>
      <c r="AC15" s="246"/>
      <c r="AD15" s="246"/>
      <c r="AE15" s="246"/>
      <c r="AF15" s="246"/>
      <c r="AG15" s="246"/>
      <c r="AH15" s="246"/>
      <c r="AI15" s="246"/>
      <c r="AJ15" s="246"/>
      <c r="AK15" s="246"/>
      <c r="AL15" s="246"/>
      <c r="AM15" s="246"/>
      <c r="AN15" s="246"/>
      <c r="AO15" s="246"/>
      <c r="AP15" s="246"/>
      <c r="AQ15" s="246"/>
      <c r="AS15" s="232">
        <f t="shared" si="1"/>
        <v>11</v>
      </c>
      <c r="AT15" s="278">
        <f t="shared" si="5"/>
        <v>106.38297872340425</v>
      </c>
      <c r="AU15" s="278"/>
      <c r="AV15" s="278">
        <f t="shared" si="2"/>
        <v>20.212765957446809</v>
      </c>
      <c r="AW15" s="278">
        <f t="shared" si="6"/>
        <v>106.38297872340425</v>
      </c>
      <c r="AX15" s="232">
        <f>IF(ISNUMBER(AS16),SUM(AU15:AV15),SUM(AU15:AW15))</f>
        <v>20.212765957446809</v>
      </c>
      <c r="AY15" s="279">
        <f t="shared" si="0"/>
        <v>6.8306303745020891E-2</v>
      </c>
      <c r="AZ15" s="232">
        <f t="shared" si="4"/>
        <v>3.9937281113761068E-2</v>
      </c>
      <c r="BA15" s="232"/>
    </row>
    <row r="16" spans="1:54" ht="21" customHeight="1" x14ac:dyDescent="0.2">
      <c r="A16" s="246"/>
      <c r="B16" s="597"/>
      <c r="C16" s="606" t="s">
        <v>547</v>
      </c>
      <c r="D16" s="608">
        <v>0.80800000000000005</v>
      </c>
      <c r="E16" s="235"/>
      <c r="F16" s="606" t="s">
        <v>345</v>
      </c>
      <c r="G16" s="610">
        <v>40</v>
      </c>
      <c r="H16" s="238"/>
      <c r="I16" s="296" t="s">
        <v>556</v>
      </c>
      <c r="J16" s="384">
        <v>0.51</v>
      </c>
      <c r="K16" s="317"/>
      <c r="L16" s="238"/>
      <c r="M16" s="238"/>
      <c r="N16" s="244"/>
      <c r="O16" s="238"/>
      <c r="P16" s="246"/>
      <c r="Q16" s="459"/>
      <c r="R16" s="413" t="s">
        <v>126</v>
      </c>
      <c r="S16" s="490">
        <f>$T9/$T$9</f>
        <v>1</v>
      </c>
      <c r="T16" s="612">
        <f>$T9/$T$10</f>
        <v>1.0724815727423445</v>
      </c>
      <c r="U16" s="673"/>
      <c r="V16" s="490">
        <f>$T9/$T$11</f>
        <v>5.617492532884274</v>
      </c>
      <c r="W16" s="491">
        <f>$T9/$V$14</f>
        <v>39.584039960529694</v>
      </c>
      <c r="X16" s="238"/>
      <c r="Y16" s="387"/>
      <c r="Z16" s="246"/>
      <c r="AA16" s="246"/>
      <c r="AB16" s="246"/>
      <c r="AC16" s="246"/>
      <c r="AD16" s="246"/>
      <c r="AE16" s="246"/>
      <c r="AF16" s="246"/>
      <c r="AG16" s="246"/>
      <c r="AH16" s="246"/>
      <c r="AI16" s="246"/>
      <c r="AJ16" s="246"/>
      <c r="AK16" s="246"/>
      <c r="AL16" s="246"/>
      <c r="AM16" s="246"/>
      <c r="AN16" s="246"/>
      <c r="AO16" s="246"/>
      <c r="AP16" s="246"/>
      <c r="AQ16" s="246"/>
      <c r="AS16" s="232">
        <f t="shared" si="1"/>
        <v>12</v>
      </c>
      <c r="AT16" s="278">
        <f t="shared" si="5"/>
        <v>106.38297872340425</v>
      </c>
      <c r="AU16" s="278"/>
      <c r="AV16" s="278">
        <f t="shared" si="2"/>
        <v>20.212765957446809</v>
      </c>
      <c r="AW16" s="278">
        <f t="shared" si="6"/>
        <v>106.38297872340425</v>
      </c>
      <c r="AX16" s="232">
        <f t="shared" ref="AX16:AX81" si="7">IF(ISNUMBER(AS17),SUM(AU16:AV16),SUM(AU16:AW16))</f>
        <v>20.212765957446809</v>
      </c>
      <c r="AY16" s="279">
        <f t="shared" si="0"/>
        <v>6.8306303745020891E-2</v>
      </c>
      <c r="AZ16" s="232">
        <f t="shared" si="4"/>
        <v>3.8035505822629601E-2</v>
      </c>
      <c r="BA16" s="232"/>
    </row>
    <row r="17" spans="1:54" ht="31.75" customHeight="1" x14ac:dyDescent="0.2">
      <c r="A17" s="246"/>
      <c r="B17" s="597"/>
      <c r="C17" s="607"/>
      <c r="D17" s="609"/>
      <c r="E17" s="235"/>
      <c r="F17" s="599"/>
      <c r="G17" s="611"/>
      <c r="H17" s="238"/>
      <c r="I17" s="297" t="s">
        <v>535</v>
      </c>
      <c r="J17" s="385">
        <v>0.5292</v>
      </c>
      <c r="K17" s="317"/>
      <c r="L17" s="674" t="s">
        <v>566</v>
      </c>
      <c r="M17" s="674"/>
      <c r="N17" s="244"/>
      <c r="O17" s="238"/>
      <c r="P17" s="246"/>
      <c r="Q17" s="459"/>
      <c r="R17" s="413" t="s">
        <v>127</v>
      </c>
      <c r="S17" s="490">
        <f>$T10/$T$9</f>
        <v>0.93241695280879422</v>
      </c>
      <c r="T17" s="612">
        <f>$T10/$T$10</f>
        <v>1</v>
      </c>
      <c r="U17" s="673"/>
      <c r="V17" s="490">
        <f>$T10/$T$11</f>
        <v>5.2378452699381102</v>
      </c>
      <c r="W17" s="491">
        <f>$T10/$V$14</f>
        <v>36.90882991985864</v>
      </c>
      <c r="X17" s="238"/>
      <c r="Y17" s="387"/>
      <c r="Z17" s="246"/>
      <c r="AA17" s="246"/>
      <c r="AB17" s="246"/>
      <c r="AC17" s="246"/>
      <c r="AD17" s="246"/>
      <c r="AE17" s="246"/>
      <c r="AF17" s="246"/>
      <c r="AG17" s="246"/>
      <c r="AH17" s="246"/>
      <c r="AI17" s="246"/>
      <c r="AJ17" s="246"/>
      <c r="AK17" s="246"/>
      <c r="AL17" s="246"/>
      <c r="AM17" s="246"/>
      <c r="AN17" s="246"/>
      <c r="AO17" s="246"/>
      <c r="AP17" s="246"/>
      <c r="AQ17" s="246"/>
      <c r="AS17" s="232">
        <f>IF(AS16&lt;$D$14,AS16+1,"")</f>
        <v>13</v>
      </c>
      <c r="AT17" s="278">
        <f>IF(ISNUMBER(AS17),AW16,0)</f>
        <v>106.38297872340425</v>
      </c>
      <c r="AU17" s="278"/>
      <c r="AV17" s="278">
        <f t="shared" si="2"/>
        <v>20.212765957446809</v>
      </c>
      <c r="AW17" s="278">
        <f t="shared" si="6"/>
        <v>106.38297872340425</v>
      </c>
      <c r="AX17" s="232">
        <f>IF(ISNUMBER(AS18),SUM(AU17:AV17),SUM(AU17:AW17))</f>
        <v>20.212765957446809</v>
      </c>
      <c r="AY17" s="279">
        <f t="shared" si="0"/>
        <v>6.8306303745020891E-2</v>
      </c>
      <c r="AZ17" s="232">
        <f t="shared" si="4"/>
        <v>3.6224291259647226E-2</v>
      </c>
      <c r="BA17" s="232"/>
    </row>
    <row r="18" spans="1:54" ht="30.75" customHeight="1" x14ac:dyDescent="0.2">
      <c r="A18" s="246"/>
      <c r="B18" s="597"/>
      <c r="C18" s="238"/>
      <c r="D18" s="238"/>
      <c r="E18" s="235"/>
      <c r="F18" s="310" t="s">
        <v>372</v>
      </c>
      <c r="G18" s="308">
        <v>0.3</v>
      </c>
      <c r="H18" s="238"/>
      <c r="I18" s="307" t="s">
        <v>229</v>
      </c>
      <c r="J18" s="306">
        <v>1</v>
      </c>
      <c r="K18" s="316"/>
      <c r="L18" s="312" t="s">
        <v>78</v>
      </c>
      <c r="M18" s="137">
        <v>2</v>
      </c>
      <c r="N18" s="244"/>
      <c r="O18" s="238"/>
      <c r="P18" s="238"/>
      <c r="Q18" s="459"/>
      <c r="R18" s="413" t="s">
        <v>128</v>
      </c>
      <c r="S18" s="490">
        <f>$T11/$T$9</f>
        <v>0.17801536791479361</v>
      </c>
      <c r="T18" s="612">
        <f>$T11/$T$10</f>
        <v>0.19091820175356494</v>
      </c>
      <c r="U18" s="673"/>
      <c r="V18" s="490">
        <f>$T11/$T$11</f>
        <v>1</v>
      </c>
      <c r="W18" s="491">
        <f>$T11/$V$14</f>
        <v>7.046567437127587</v>
      </c>
      <c r="X18" s="238"/>
      <c r="Y18" s="246"/>
      <c r="Z18" s="246"/>
      <c r="AA18" s="246"/>
      <c r="AB18" s="246"/>
      <c r="AC18" s="246"/>
      <c r="AD18" s="246"/>
      <c r="AE18" s="246"/>
      <c r="AF18" s="246"/>
      <c r="AG18" s="246"/>
      <c r="AH18" s="246"/>
      <c r="AI18" s="246"/>
      <c r="AJ18" s="246"/>
      <c r="AK18" s="246"/>
      <c r="AL18" s="246"/>
      <c r="AM18" s="246"/>
      <c r="AN18" s="246"/>
      <c r="AO18" s="246"/>
      <c r="AP18" s="246"/>
      <c r="AQ18" s="246"/>
      <c r="AS18" s="232">
        <f>IF(AS17&lt;$D$14,AS17+1,"")</f>
        <v>14</v>
      </c>
      <c r="AT18" s="278">
        <f>IF(ISNUMBER(AS18),AW17,0)</f>
        <v>106.38297872340425</v>
      </c>
      <c r="AU18" s="278"/>
      <c r="AV18" s="278">
        <f t="shared" si="2"/>
        <v>20.212765957446809</v>
      </c>
      <c r="AW18" s="278">
        <f t="shared" si="6"/>
        <v>106.38297872340425</v>
      </c>
      <c r="AX18" s="232">
        <f>IF(ISNUMBER(AS19),SUM(AU18:AV18),SUM(AU18:AW18))</f>
        <v>20.212765957446809</v>
      </c>
      <c r="AY18" s="279">
        <f t="shared" si="0"/>
        <v>6.8306303745020891E-2</v>
      </c>
      <c r="AZ18" s="232">
        <f t="shared" si="4"/>
        <v>3.4499325009187842E-2</v>
      </c>
      <c r="BA18" s="232"/>
    </row>
    <row r="19" spans="1:54" ht="21" customHeight="1" thickBot="1" x14ac:dyDescent="0.25">
      <c r="A19" s="246"/>
      <c r="B19" s="302"/>
      <c r="C19" s="239"/>
      <c r="D19" s="239"/>
      <c r="E19" s="239"/>
      <c r="F19" s="303"/>
      <c r="G19" s="304"/>
      <c r="H19" s="239"/>
      <c r="I19" s="239"/>
      <c r="J19" s="239"/>
      <c r="K19" s="239"/>
      <c r="L19" s="319"/>
      <c r="M19" s="239"/>
      <c r="N19" s="305"/>
      <c r="O19" s="238"/>
      <c r="P19" s="246"/>
      <c r="Q19" s="469"/>
      <c r="R19" s="414" t="s">
        <v>130</v>
      </c>
      <c r="S19" s="492">
        <f>$V14/$T$9</f>
        <v>2.5262706914128186E-2</v>
      </c>
      <c r="T19" s="615">
        <f>$V14/$T$10</f>
        <v>2.7093787642993097E-2</v>
      </c>
      <c r="U19" s="675"/>
      <c r="V19" s="492">
        <f>$V14/$T$11</f>
        <v>0.14191306745055901</v>
      </c>
      <c r="W19" s="493">
        <f>$V14/$V$14</f>
        <v>1</v>
      </c>
      <c r="X19" s="238"/>
      <c r="Y19" s="246"/>
      <c r="Z19" s="246"/>
      <c r="AA19" s="246"/>
      <c r="AB19" s="246"/>
      <c r="AC19" s="246"/>
      <c r="AD19" s="246"/>
      <c r="AE19" s="246"/>
      <c r="AF19" s="246"/>
      <c r="AG19" s="246"/>
      <c r="AH19" s="246"/>
      <c r="AI19" s="246"/>
      <c r="AJ19" s="246"/>
      <c r="AK19" s="246"/>
      <c r="AL19" s="246"/>
      <c r="AM19" s="246"/>
      <c r="AN19" s="246"/>
      <c r="AO19" s="246"/>
      <c r="AP19" s="246"/>
      <c r="AQ19" s="246"/>
      <c r="AS19" s="232">
        <f>IF(AS18&lt;$D$14,AS18+1,"")</f>
        <v>15</v>
      </c>
      <c r="AT19" s="278">
        <f>IF(ISNUMBER(AS19),AW18,0)</f>
        <v>106.38297872340425</v>
      </c>
      <c r="AU19" s="278"/>
      <c r="AV19" s="278">
        <f t="shared" si="2"/>
        <v>20.212765957446809</v>
      </c>
      <c r="AW19" s="278">
        <f t="shared" si="6"/>
        <v>106.38297872340425</v>
      </c>
      <c r="AX19" s="232">
        <f t="shared" si="7"/>
        <v>20.212765957446809</v>
      </c>
      <c r="AY19" s="279">
        <f t="shared" si="0"/>
        <v>6.8306303745020891E-2</v>
      </c>
      <c r="AZ19" s="232">
        <f t="shared" si="4"/>
        <v>3.2856500008750317E-2</v>
      </c>
      <c r="BA19" s="232"/>
    </row>
    <row r="20" spans="1:54" ht="9.75" customHeight="1" thickBot="1" x14ac:dyDescent="0.25">
      <c r="A20" s="246"/>
      <c r="B20" s="246"/>
      <c r="C20" s="246"/>
      <c r="D20" s="246"/>
      <c r="E20" s="246"/>
      <c r="F20" s="246"/>
      <c r="G20" s="246"/>
      <c r="H20" s="246"/>
      <c r="I20" s="246"/>
      <c r="J20" s="246"/>
      <c r="K20" s="246"/>
      <c r="L20" s="246"/>
      <c r="M20" s="246"/>
      <c r="N20" s="246"/>
      <c r="O20" s="246"/>
      <c r="P20" s="246"/>
      <c r="Q20" s="238"/>
      <c r="R20" s="238"/>
      <c r="S20" s="238"/>
      <c r="T20" s="238"/>
      <c r="U20" s="238"/>
      <c r="V20" s="238"/>
      <c r="W20" s="238"/>
      <c r="Y20" s="246"/>
      <c r="Z20" s="246"/>
      <c r="AA20" s="246"/>
      <c r="AB20" s="246"/>
      <c r="AC20" s="246"/>
      <c r="AD20" s="246"/>
      <c r="AE20" s="246"/>
      <c r="AF20" s="246"/>
      <c r="AG20" s="246"/>
      <c r="AH20" s="246"/>
      <c r="AI20" s="246"/>
      <c r="AJ20" s="246"/>
      <c r="AK20" s="246"/>
      <c r="AL20" s="246"/>
      <c r="AM20" s="246"/>
      <c r="AN20" s="246"/>
      <c r="AO20" s="246"/>
      <c r="AP20" s="246"/>
      <c r="AQ20" s="246"/>
      <c r="AS20" s="232">
        <f t="shared" si="1"/>
        <v>16</v>
      </c>
      <c r="AT20" s="278">
        <f t="shared" si="5"/>
        <v>106.38297872340425</v>
      </c>
      <c r="AU20" s="278"/>
      <c r="AV20" s="278">
        <f t="shared" si="2"/>
        <v>20.212765957446809</v>
      </c>
      <c r="AW20" s="278">
        <f t="shared" si="6"/>
        <v>106.38297872340425</v>
      </c>
      <c r="AX20" s="232">
        <f>IF(ISNUMBER(AS21),SUM(AU20:AV20),SUM(AU20:AW20))</f>
        <v>20.212765957446809</v>
      </c>
      <c r="AY20" s="279">
        <f t="shared" si="0"/>
        <v>6.8306303745020891E-2</v>
      </c>
      <c r="AZ20" s="232">
        <f t="shared" si="4"/>
        <v>3.1291904770238403E-2</v>
      </c>
      <c r="BA20" s="232"/>
    </row>
    <row r="21" spans="1:54" ht="10.5" customHeight="1" x14ac:dyDescent="0.2">
      <c r="A21" s="246"/>
      <c r="B21" s="246"/>
      <c r="C21" s="246"/>
      <c r="D21" s="246"/>
      <c r="E21" s="238"/>
      <c r="F21" s="617" t="s">
        <v>562</v>
      </c>
      <c r="G21" s="257" t="s">
        <v>561</v>
      </c>
      <c r="H21" s="258"/>
      <c r="I21" s="487">
        <f>T9</f>
        <v>0.19241161764771936</v>
      </c>
      <c r="J21" s="259"/>
      <c r="K21" s="260"/>
      <c r="L21" s="263"/>
      <c r="M21" s="263"/>
      <c r="N21" s="263"/>
      <c r="O21" s="263"/>
      <c r="P21" s="238"/>
      <c r="Q21" s="676" t="s">
        <v>285</v>
      </c>
      <c r="R21" s="621" t="s">
        <v>243</v>
      </c>
      <c r="S21" s="622"/>
      <c r="T21" s="355"/>
      <c r="U21" s="625" t="s">
        <v>281</v>
      </c>
      <c r="V21" s="625"/>
      <c r="W21" s="626"/>
      <c r="Y21" s="246"/>
      <c r="Z21" s="246"/>
      <c r="AA21" s="246"/>
      <c r="AB21" s="246"/>
      <c r="AC21" s="246"/>
      <c r="AD21" s="246"/>
      <c r="AE21" s="246"/>
      <c r="AF21" s="246"/>
      <c r="AG21" s="246"/>
      <c r="AH21" s="246"/>
      <c r="AI21" s="246"/>
      <c r="AJ21" s="246"/>
      <c r="AK21" s="246"/>
      <c r="AL21" s="246"/>
      <c r="AM21" s="246"/>
      <c r="AN21" s="246"/>
      <c r="AO21" s="246"/>
      <c r="AP21" s="246"/>
      <c r="AQ21" s="246"/>
      <c r="AS21" s="232">
        <f>IF(AS20&lt;$D$14,AS20+1,"")</f>
        <v>17</v>
      </c>
      <c r="AT21" s="278">
        <f>IF(ISNUMBER(AS21),AW20,0)</f>
        <v>106.38297872340425</v>
      </c>
      <c r="AU21" s="278"/>
      <c r="AV21" s="278">
        <f t="shared" si="2"/>
        <v>20.212765957446809</v>
      </c>
      <c r="AW21" s="278">
        <f t="shared" si="6"/>
        <v>106.38297872340425</v>
      </c>
      <c r="AX21" s="232">
        <f t="shared" si="7"/>
        <v>20.212765957446809</v>
      </c>
      <c r="AY21" s="279">
        <f t="shared" si="0"/>
        <v>6.8306303745020891E-2</v>
      </c>
      <c r="AZ21" s="232">
        <f t="shared" si="4"/>
        <v>2.9801814066893712E-2</v>
      </c>
      <c r="BA21" s="232"/>
    </row>
    <row r="22" spans="1:54" ht="12" customHeight="1" thickBot="1" x14ac:dyDescent="0.25">
      <c r="A22" s="246"/>
      <c r="B22" s="246"/>
      <c r="C22" s="246"/>
      <c r="D22" s="246"/>
      <c r="E22" s="238"/>
      <c r="F22" s="618"/>
      <c r="G22" s="261" t="s">
        <v>560</v>
      </c>
      <c r="H22" s="262"/>
      <c r="I22" s="488">
        <f>T10</f>
        <v>0.17940785421209729</v>
      </c>
      <c r="J22" s="263"/>
      <c r="K22" s="264"/>
      <c r="L22" s="263"/>
      <c r="M22" s="263"/>
      <c r="N22" s="263"/>
      <c r="O22" s="263"/>
      <c r="P22" s="238"/>
      <c r="Q22" s="677"/>
      <c r="R22" s="623"/>
      <c r="S22" s="624"/>
      <c r="T22" s="356"/>
      <c r="U22" s="627"/>
      <c r="V22" s="627"/>
      <c r="W22" s="628"/>
      <c r="Y22" s="246"/>
      <c r="Z22" s="246"/>
      <c r="AA22" s="246"/>
      <c r="AB22" s="246"/>
      <c r="AC22" s="246"/>
      <c r="AD22" s="246"/>
      <c r="AE22" s="246"/>
      <c r="AF22" s="246"/>
      <c r="AG22" s="246"/>
      <c r="AH22" s="246"/>
      <c r="AI22" s="246"/>
      <c r="AJ22" s="246"/>
      <c r="AK22" s="246"/>
      <c r="AL22" s="246"/>
      <c r="AM22" s="246"/>
      <c r="AN22" s="246"/>
      <c r="AO22" s="246"/>
      <c r="AP22" s="246"/>
      <c r="AQ22" s="246"/>
      <c r="AS22" s="232">
        <f t="shared" si="1"/>
        <v>18</v>
      </c>
      <c r="AT22" s="278">
        <f t="shared" si="5"/>
        <v>106.38297872340425</v>
      </c>
      <c r="AU22" s="278"/>
      <c r="AV22" s="278">
        <f t="shared" si="2"/>
        <v>20.212765957446809</v>
      </c>
      <c r="AW22" s="278">
        <f t="shared" si="6"/>
        <v>106.38297872340425</v>
      </c>
      <c r="AX22" s="232">
        <f t="shared" si="7"/>
        <v>20.212765957446809</v>
      </c>
      <c r="AY22" s="279">
        <f t="shared" si="0"/>
        <v>6.8306303745020891E-2</v>
      </c>
      <c r="AZ22" s="232">
        <f t="shared" si="4"/>
        <v>2.8382680063708296E-2</v>
      </c>
      <c r="BA22" s="232"/>
    </row>
    <row r="23" spans="1:54" ht="10.75" customHeight="1" x14ac:dyDescent="0.2">
      <c r="A23" s="246"/>
      <c r="B23" s="565" t="s">
        <v>410</v>
      </c>
      <c r="C23" s="637"/>
      <c r="D23" s="637"/>
      <c r="E23" s="566"/>
      <c r="F23" s="618"/>
      <c r="G23" s="261" t="s">
        <v>390</v>
      </c>
      <c r="H23" s="262"/>
      <c r="I23" s="488">
        <f>T12</f>
        <v>2.7063933435940702E-2</v>
      </c>
      <c r="J23" s="263"/>
      <c r="K23" s="264"/>
      <c r="L23" s="263"/>
      <c r="M23" s="263"/>
      <c r="N23" s="263"/>
      <c r="O23" s="263"/>
      <c r="P23" s="238"/>
      <c r="Q23" s="677"/>
      <c r="R23" s="347" t="s">
        <v>566</v>
      </c>
      <c r="S23" s="494">
        <f>(R37/S37)*T5</f>
        <v>66.054291494642513</v>
      </c>
      <c r="T23" s="495"/>
      <c r="U23" s="496"/>
      <c r="V23" s="496"/>
      <c r="W23" s="497"/>
      <c r="Y23" s="246"/>
      <c r="Z23" s="246"/>
      <c r="AA23" s="246"/>
      <c r="AB23" s="246"/>
      <c r="AC23" s="246"/>
      <c r="AD23" s="246"/>
      <c r="AE23" s="246"/>
      <c r="AF23" s="246"/>
      <c r="AG23" s="246"/>
      <c r="AH23" s="246"/>
      <c r="AI23" s="246"/>
      <c r="AJ23" s="246"/>
      <c r="AK23" s="246"/>
      <c r="AL23" s="246"/>
      <c r="AM23" s="246"/>
      <c r="AN23" s="246"/>
      <c r="AO23" s="246"/>
      <c r="AP23" s="246"/>
      <c r="AQ23" s="246"/>
      <c r="AS23" s="232">
        <f t="shared" si="1"/>
        <v>19</v>
      </c>
      <c r="AT23" s="278">
        <f t="shared" si="5"/>
        <v>106.38297872340425</v>
      </c>
      <c r="AU23" s="278"/>
      <c r="AV23" s="278">
        <f t="shared" si="2"/>
        <v>20.212765957446809</v>
      </c>
      <c r="AW23" s="278">
        <f t="shared" si="6"/>
        <v>106.38297872340425</v>
      </c>
      <c r="AX23" s="232">
        <f t="shared" si="7"/>
        <v>20.212765957446809</v>
      </c>
      <c r="AY23" s="279">
        <f t="shared" si="0"/>
        <v>6.8306303745020891E-2</v>
      </c>
      <c r="AZ23" s="232">
        <f t="shared" si="4"/>
        <v>2.7031123870198379E-2</v>
      </c>
      <c r="BA23" s="232"/>
    </row>
    <row r="24" spans="1:54" ht="12.75" customHeight="1" x14ac:dyDescent="0.2">
      <c r="A24" s="246"/>
      <c r="B24" s="638"/>
      <c r="C24" s="639"/>
      <c r="D24" s="639"/>
      <c r="E24" s="679"/>
      <c r="F24" s="618"/>
      <c r="G24" s="261" t="s">
        <v>542</v>
      </c>
      <c r="H24" s="262"/>
      <c r="I24" s="488">
        <f>V14</f>
        <v>4.8608383035076289E-3</v>
      </c>
      <c r="J24" s="263"/>
      <c r="K24" s="264"/>
      <c r="L24" s="263"/>
      <c r="M24" s="263"/>
      <c r="N24" s="263"/>
      <c r="O24" s="263"/>
      <c r="P24" s="238"/>
      <c r="Q24" s="677"/>
      <c r="R24" s="347" t="s">
        <v>570</v>
      </c>
      <c r="S24" s="494">
        <f>T9*$R$37</f>
        <v>546.11478623554274</v>
      </c>
      <c r="T24" s="495"/>
      <c r="U24" s="496" t="s">
        <v>570</v>
      </c>
      <c r="V24" s="496"/>
      <c r="W24" s="497">
        <f>S24/S$23</f>
        <v>8.2676654896803594</v>
      </c>
      <c r="Y24" s="246"/>
      <c r="Z24" s="246"/>
      <c r="AA24" s="246"/>
      <c r="AB24" s="246"/>
      <c r="AC24" s="246"/>
      <c r="AD24" s="246"/>
      <c r="AE24" s="246"/>
      <c r="AF24" s="246"/>
      <c r="AG24" s="246"/>
      <c r="AH24" s="246"/>
      <c r="AI24" s="246"/>
      <c r="AJ24" s="246"/>
      <c r="AK24" s="246"/>
      <c r="AL24" s="246"/>
      <c r="AM24" s="246"/>
      <c r="AN24" s="246"/>
      <c r="AO24" s="246"/>
      <c r="AP24" s="246"/>
      <c r="AQ24" s="246"/>
      <c r="AS24" s="232">
        <f t="shared" si="1"/>
        <v>20</v>
      </c>
      <c r="AT24" s="278">
        <f t="shared" si="5"/>
        <v>106.38297872340425</v>
      </c>
      <c r="AU24" s="278"/>
      <c r="AV24" s="278">
        <f t="shared" si="2"/>
        <v>20.212765957446809</v>
      </c>
      <c r="AW24" s="278">
        <f t="shared" si="6"/>
        <v>106.38297872340425</v>
      </c>
      <c r="AX24" s="232">
        <f>IF(ISNUMBER(AS25),SUM(AU24:AV24),SUM(AU24:AW24))</f>
        <v>126.59574468085106</v>
      </c>
      <c r="AY24" s="279">
        <f t="shared" si="0"/>
        <v>0.36655986667788287</v>
      </c>
      <c r="AZ24" s="232">
        <f t="shared" si="4"/>
        <v>0.13815255859422332</v>
      </c>
      <c r="BA24" s="232"/>
    </row>
    <row r="25" spans="1:54" ht="14.5" customHeight="1" thickBot="1" x14ac:dyDescent="0.25">
      <c r="A25" s="246"/>
      <c r="B25" s="638"/>
      <c r="C25" s="639"/>
      <c r="D25" s="639"/>
      <c r="E25" s="679"/>
      <c r="F25" s="265" t="s">
        <v>574</v>
      </c>
      <c r="G25" s="266"/>
      <c r="H25" s="266"/>
      <c r="I25" s="267">
        <f>V14*J37</f>
        <v>1.3898220098523546</v>
      </c>
      <c r="J25" s="263"/>
      <c r="K25" s="264"/>
      <c r="L25" s="263"/>
      <c r="M25" s="263"/>
      <c r="N25" s="263"/>
      <c r="O25" s="263"/>
      <c r="P25" s="238"/>
      <c r="Q25" s="678"/>
      <c r="R25" s="347" t="s">
        <v>560</v>
      </c>
      <c r="S25" s="494">
        <f>T10*$R$37</f>
        <v>509.20668486557082</v>
      </c>
      <c r="T25" s="495"/>
      <c r="U25" s="496" t="s">
        <v>560</v>
      </c>
      <c r="V25" s="496"/>
      <c r="W25" s="497">
        <f>S25/S$23</f>
        <v>7.708911462730188</v>
      </c>
      <c r="Y25" s="246"/>
      <c r="Z25" s="246"/>
      <c r="AA25" s="246"/>
      <c r="AB25" s="246"/>
      <c r="AC25" s="246"/>
      <c r="AD25" s="246"/>
      <c r="AE25" s="246"/>
      <c r="AF25" s="246"/>
      <c r="AG25" s="246"/>
      <c r="AH25" s="246"/>
      <c r="AI25" s="246"/>
      <c r="AJ25" s="246"/>
      <c r="AK25" s="246"/>
      <c r="AL25" s="246"/>
      <c r="AM25" s="246"/>
      <c r="AN25" s="246"/>
      <c r="AO25" s="246"/>
      <c r="AP25" s="246"/>
      <c r="AQ25" s="246"/>
      <c r="AS25" s="232" t="str">
        <f>IF(AS24&lt;$D$14,AS24+1,"")</f>
        <v/>
      </c>
      <c r="AT25" s="278">
        <f>IF(ISNUMBER(AS25),AW24,0)</f>
        <v>0</v>
      </c>
      <c r="AU25" s="278"/>
      <c r="AV25" s="278">
        <f t="shared" si="2"/>
        <v>0</v>
      </c>
      <c r="AW25" s="278">
        <f t="shared" si="6"/>
        <v>0</v>
      </c>
      <c r="AX25" s="232">
        <f t="shared" si="7"/>
        <v>0</v>
      </c>
      <c r="AY25" s="279">
        <f t="shared" si="0"/>
        <v>0</v>
      </c>
      <c r="AZ25" s="232">
        <f t="shared" si="4"/>
        <v>0</v>
      </c>
      <c r="BA25" s="232"/>
    </row>
    <row r="26" spans="1:54" ht="12" customHeight="1" thickBot="1" x14ac:dyDescent="0.25">
      <c r="A26" s="246"/>
      <c r="B26" s="567"/>
      <c r="C26" s="640"/>
      <c r="D26" s="640"/>
      <c r="E26" s="568"/>
      <c r="F26" s="247"/>
      <c r="G26" s="238"/>
      <c r="H26" s="238"/>
      <c r="I26" s="238"/>
      <c r="J26" s="238"/>
      <c r="K26" s="244"/>
      <c r="L26" s="238"/>
      <c r="M26" s="238"/>
      <c r="N26" s="238"/>
      <c r="O26" s="263"/>
      <c r="P26" s="238"/>
      <c r="Q26" s="238"/>
      <c r="R26" s="347" t="s">
        <v>390</v>
      </c>
      <c r="S26" s="494">
        <f>T12*$R$37</f>
        <v>76.814562466399494</v>
      </c>
      <c r="T26" s="495"/>
      <c r="U26" s="496" t="s">
        <v>390</v>
      </c>
      <c r="V26" s="496"/>
      <c r="W26" s="497">
        <f>S26/S$23</f>
        <v>1.1629004070481888</v>
      </c>
      <c r="Y26" s="246"/>
      <c r="Z26" s="246"/>
      <c r="AA26" s="246"/>
      <c r="AB26" s="246"/>
      <c r="AC26" s="246"/>
      <c r="AD26" s="246"/>
      <c r="AE26" s="246"/>
      <c r="AF26" s="246"/>
      <c r="AG26" s="246"/>
      <c r="AH26" s="246"/>
      <c r="AI26" s="246"/>
      <c r="AJ26" s="246"/>
      <c r="AK26" s="246"/>
      <c r="AL26" s="246"/>
      <c r="AM26" s="246"/>
      <c r="AN26" s="246"/>
      <c r="AO26" s="246"/>
      <c r="AP26" s="246"/>
      <c r="AQ26" s="246"/>
      <c r="AS26" s="232" t="str">
        <f t="shared" si="1"/>
        <v/>
      </c>
      <c r="AT26" s="278">
        <f t="shared" si="5"/>
        <v>0</v>
      </c>
      <c r="AU26" s="278"/>
      <c r="AV26" s="278">
        <f t="shared" si="2"/>
        <v>0</v>
      </c>
      <c r="AW26" s="278">
        <f t="shared" si="6"/>
        <v>0</v>
      </c>
      <c r="AX26" s="232">
        <f t="shared" si="7"/>
        <v>0</v>
      </c>
      <c r="AY26" s="279">
        <f t="shared" si="0"/>
        <v>0</v>
      </c>
      <c r="AZ26" s="232">
        <f t="shared" si="4"/>
        <v>0</v>
      </c>
      <c r="BA26" s="232"/>
    </row>
    <row r="27" spans="1:54" ht="12.75" customHeight="1" x14ac:dyDescent="0.2">
      <c r="A27" s="246"/>
      <c r="B27" s="246"/>
      <c r="C27" s="246"/>
      <c r="D27" s="246"/>
      <c r="E27" s="238"/>
      <c r="F27" s="268" t="s">
        <v>282</v>
      </c>
      <c r="G27" s="489">
        <f>I21/I$24</f>
        <v>39.584039960529694</v>
      </c>
      <c r="H27" s="269" t="s">
        <v>568</v>
      </c>
      <c r="I27" s="266"/>
      <c r="J27" s="266"/>
      <c r="K27" s="270"/>
      <c r="L27" s="238"/>
      <c r="M27" s="238"/>
      <c r="N27" s="238"/>
      <c r="O27" s="263"/>
      <c r="P27" s="238"/>
      <c r="R27" s="347" t="s">
        <v>542</v>
      </c>
      <c r="S27" s="494">
        <f>V14*$R$37</f>
        <v>13.796337786140283</v>
      </c>
      <c r="T27" s="495"/>
      <c r="U27" s="496" t="s">
        <v>542</v>
      </c>
      <c r="V27" s="496"/>
      <c r="W27" s="497">
        <f>S27/S$23</f>
        <v>0.208863610129847</v>
      </c>
      <c r="Y27" s="246"/>
      <c r="Z27" s="246"/>
      <c r="AA27" s="246"/>
      <c r="AB27" s="246"/>
      <c r="AC27" s="246"/>
      <c r="AD27" s="246"/>
      <c r="AE27" s="246"/>
      <c r="AF27" s="246"/>
      <c r="AG27" s="246"/>
      <c r="AH27" s="246"/>
      <c r="AI27" s="246"/>
      <c r="AJ27" s="246"/>
      <c r="AK27" s="246"/>
      <c r="AL27" s="246"/>
      <c r="AM27" s="246"/>
      <c r="AN27" s="246"/>
      <c r="AO27" s="246"/>
      <c r="AP27" s="246"/>
      <c r="AQ27" s="246"/>
      <c r="AS27" s="232" t="str">
        <f t="shared" si="1"/>
        <v/>
      </c>
      <c r="AT27" s="278">
        <f t="shared" si="5"/>
        <v>0</v>
      </c>
      <c r="AU27" s="278"/>
      <c r="AV27" s="278">
        <f t="shared" si="2"/>
        <v>0</v>
      </c>
      <c r="AW27" s="278">
        <f t="shared" si="6"/>
        <v>0</v>
      </c>
      <c r="AX27" s="232">
        <f t="shared" si="7"/>
        <v>0</v>
      </c>
      <c r="AY27" s="279">
        <f t="shared" si="0"/>
        <v>0</v>
      </c>
      <c r="AZ27" s="232">
        <f t="shared" si="4"/>
        <v>0</v>
      </c>
      <c r="BA27" s="288"/>
      <c r="BB27" s="246"/>
    </row>
    <row r="28" spans="1:54" s="246" customFormat="1" ht="14.5" customHeight="1" x14ac:dyDescent="0.2">
      <c r="E28" s="238"/>
      <c r="F28" s="268" t="s">
        <v>569</v>
      </c>
      <c r="G28" s="489">
        <f>I22/I$24</f>
        <v>36.90882991985864</v>
      </c>
      <c r="H28" s="269" t="s">
        <v>568</v>
      </c>
      <c r="I28" s="266"/>
      <c r="J28" s="266"/>
      <c r="K28" s="270"/>
      <c r="L28" s="238"/>
      <c r="M28" s="238"/>
      <c r="N28" s="238"/>
      <c r="O28" s="263"/>
      <c r="P28" s="238"/>
      <c r="R28" s="345" t="s">
        <v>247</v>
      </c>
      <c r="S28" s="498"/>
      <c r="T28" s="495"/>
      <c r="U28" s="495"/>
      <c r="V28" s="495"/>
      <c r="W28" s="499" t="s">
        <v>280</v>
      </c>
      <c r="AS28" s="232" t="str">
        <f t="shared" si="1"/>
        <v/>
      </c>
      <c r="AT28" s="278">
        <f t="shared" si="5"/>
        <v>0</v>
      </c>
      <c r="AU28" s="278"/>
      <c r="AV28" s="278">
        <f t="shared" si="2"/>
        <v>0</v>
      </c>
      <c r="AW28" s="278">
        <f t="shared" si="6"/>
        <v>0</v>
      </c>
      <c r="AX28" s="232">
        <f>IF(ISNUMBER(AS29),SUM(AU28:AV28),SUM(AU28:AW28))</f>
        <v>0</v>
      </c>
      <c r="AY28" s="279">
        <f t="shared" si="0"/>
        <v>0</v>
      </c>
      <c r="AZ28" s="232">
        <f t="shared" si="4"/>
        <v>0</v>
      </c>
      <c r="BA28" s="232"/>
      <c r="BB28" s="233"/>
    </row>
    <row r="29" spans="1:54" ht="13.75" customHeight="1" x14ac:dyDescent="0.2">
      <c r="A29" s="246"/>
      <c r="B29" s="246"/>
      <c r="C29" s="246"/>
      <c r="D29" s="246"/>
      <c r="E29" s="238"/>
      <c r="F29" s="268" t="s">
        <v>407</v>
      </c>
      <c r="G29" s="489">
        <f>I23/I$24</f>
        <v>5.5677501998803578</v>
      </c>
      <c r="H29" s="269" t="s">
        <v>568</v>
      </c>
      <c r="I29" s="266"/>
      <c r="J29" s="266"/>
      <c r="K29" s="270"/>
      <c r="L29" s="238"/>
      <c r="M29" s="238"/>
      <c r="N29" s="238"/>
      <c r="O29" s="263"/>
      <c r="P29" s="238"/>
      <c r="Q29" s="344"/>
      <c r="R29" s="346" t="s">
        <v>570</v>
      </c>
      <c r="S29" s="494">
        <f>IFERROR(IF(S24-S$23&gt;0,S24-S$23,"N/A"),"N/A")</f>
        <v>480.06049474090025</v>
      </c>
      <c r="T29" s="500"/>
      <c r="U29" s="496"/>
      <c r="V29" s="496"/>
      <c r="W29" s="501" t="str">
        <f>IF(AND(S29&lt;&gt;"N/A",S29&gt;=$W$33),R29,"Bednets")</f>
        <v>Deworm the World</v>
      </c>
      <c r="Y29" s="246"/>
      <c r="Z29" s="246"/>
      <c r="AA29" s="246"/>
      <c r="AB29" s="246"/>
      <c r="AC29" s="246"/>
      <c r="AD29" s="246"/>
      <c r="AE29" s="246"/>
      <c r="AF29" s="246"/>
      <c r="AG29" s="246"/>
      <c r="AH29" s="246"/>
      <c r="AI29" s="246"/>
      <c r="AJ29" s="246"/>
      <c r="AK29" s="246"/>
      <c r="AL29" s="246"/>
      <c r="AM29" s="246"/>
      <c r="AN29" s="246"/>
      <c r="AO29" s="246"/>
      <c r="AP29" s="246"/>
      <c r="AQ29" s="246"/>
      <c r="AS29" s="232" t="str">
        <f>IF(AS28&lt;$D$14,AS28+1,"")</f>
        <v/>
      </c>
      <c r="AT29" s="278">
        <f>IF(ISNUMBER(AS29),AW28,0)</f>
        <v>0</v>
      </c>
      <c r="AU29" s="278"/>
      <c r="AV29" s="278">
        <f t="shared" si="2"/>
        <v>0</v>
      </c>
      <c r="AW29" s="278">
        <f t="shared" si="6"/>
        <v>0</v>
      </c>
      <c r="AX29" s="232">
        <f t="shared" si="7"/>
        <v>0</v>
      </c>
      <c r="AY29" s="279">
        <f t="shared" si="0"/>
        <v>0</v>
      </c>
      <c r="AZ29" s="232">
        <f t="shared" si="4"/>
        <v>0</v>
      </c>
      <c r="BA29" s="232"/>
    </row>
    <row r="30" spans="1:54" ht="13.5" customHeight="1" x14ac:dyDescent="0.2">
      <c r="A30" s="246"/>
      <c r="B30" s="246"/>
      <c r="C30" s="246"/>
      <c r="D30" s="246"/>
      <c r="E30" s="238"/>
      <c r="F30" s="247"/>
      <c r="G30" s="238"/>
      <c r="H30" s="238"/>
      <c r="I30" s="238"/>
      <c r="J30" s="263"/>
      <c r="K30" s="264"/>
      <c r="L30" s="238"/>
      <c r="M30" s="238"/>
      <c r="N30" s="238"/>
      <c r="O30" s="263"/>
      <c r="P30" s="238"/>
      <c r="Q30" s="344"/>
      <c r="R30" s="346" t="s">
        <v>560</v>
      </c>
      <c r="S30" s="494">
        <f>IFERROR(IF(S25-S$23&gt;0,S25-S$23,"N/A"),"N/A")</f>
        <v>443.15239337092828</v>
      </c>
      <c r="T30" s="500"/>
      <c r="U30" s="496"/>
      <c r="V30" s="496"/>
      <c r="W30" s="501" t="str">
        <f>IF(AND(S30&lt;&gt;"N/A",S30&gt;=$W$33),R30,"Bednets")</f>
        <v>SCI</v>
      </c>
      <c r="Y30" s="246"/>
      <c r="Z30" s="246"/>
      <c r="AA30" s="246"/>
      <c r="AB30" s="246"/>
      <c r="AC30" s="246"/>
      <c r="AD30" s="246"/>
      <c r="AE30" s="246"/>
      <c r="AF30" s="246"/>
      <c r="AG30" s="246"/>
      <c r="AH30" s="246"/>
      <c r="AI30" s="246"/>
      <c r="AJ30" s="246"/>
      <c r="AK30" s="246"/>
      <c r="AL30" s="246"/>
      <c r="AM30" s="246"/>
      <c r="AN30" s="246"/>
      <c r="AO30" s="246"/>
      <c r="AP30" s="246"/>
      <c r="AQ30" s="246"/>
      <c r="AS30" s="232" t="str">
        <f t="shared" si="1"/>
        <v/>
      </c>
      <c r="AT30" s="278">
        <f t="shared" si="5"/>
        <v>0</v>
      </c>
      <c r="AU30" s="278"/>
      <c r="AV30" s="278">
        <f t="shared" si="2"/>
        <v>0</v>
      </c>
      <c r="AW30" s="278">
        <f t="shared" si="6"/>
        <v>0</v>
      </c>
      <c r="AX30" s="232">
        <f>IF(ISNUMBER(AS33),SUM(AU30:AV30),SUM(AU30:AW30))</f>
        <v>0</v>
      </c>
      <c r="AY30" s="279">
        <f t="shared" si="0"/>
        <v>0</v>
      </c>
      <c r="AZ30" s="232">
        <f t="shared" si="4"/>
        <v>0</v>
      </c>
      <c r="BA30" s="232"/>
    </row>
    <row r="31" spans="1:54" ht="13.5" customHeight="1" x14ac:dyDescent="0.2">
      <c r="A31" s="246"/>
      <c r="B31" s="246"/>
      <c r="C31" s="246"/>
      <c r="D31" s="246"/>
      <c r="E31" s="238"/>
      <c r="F31" s="618" t="s">
        <v>446</v>
      </c>
      <c r="G31" s="261" t="s">
        <v>570</v>
      </c>
      <c r="H31" s="262"/>
      <c r="I31" s="431">
        <f>V9</f>
        <v>253.10322004133539</v>
      </c>
      <c r="J31" s="263"/>
      <c r="K31" s="264"/>
      <c r="L31" s="238"/>
      <c r="M31" s="238"/>
      <c r="N31" s="238"/>
      <c r="O31" s="263"/>
      <c r="P31" s="238"/>
      <c r="Q31" s="286"/>
      <c r="R31" s="346" t="s">
        <v>390</v>
      </c>
      <c r="S31" s="494">
        <f>IFERROR(IF(S26-S$23&gt;0,S26-S$23,"N/A"),"N/A")</f>
        <v>10.760270971756981</v>
      </c>
      <c r="T31" s="500"/>
      <c r="U31" s="496"/>
      <c r="V31" s="496"/>
      <c r="W31" s="501" t="str">
        <f>IF(AND(S31&lt;&gt;"N/A",S31&gt;=$W$33),R31,"Bednets")</f>
        <v>Bednets</v>
      </c>
      <c r="Y31" s="246"/>
      <c r="Z31" s="246"/>
      <c r="AA31" s="246"/>
      <c r="AB31" s="246"/>
      <c r="AC31" s="246"/>
      <c r="AD31" s="246"/>
      <c r="AE31" s="246"/>
      <c r="AF31" s="246"/>
      <c r="AG31" s="246"/>
      <c r="AH31" s="246"/>
      <c r="AI31" s="246"/>
      <c r="AJ31" s="246"/>
      <c r="AK31" s="246"/>
      <c r="AL31" s="246"/>
      <c r="AM31" s="246"/>
      <c r="AN31" s="246"/>
      <c r="AO31" s="246"/>
      <c r="AP31" s="246"/>
      <c r="AQ31" s="246"/>
      <c r="AS31" s="232"/>
      <c r="AT31" s="278"/>
      <c r="AU31" s="278"/>
      <c r="AV31" s="278"/>
      <c r="AW31" s="278"/>
      <c r="AX31" s="232"/>
      <c r="AY31" s="279"/>
      <c r="AZ31" s="232"/>
      <c r="BA31" s="232"/>
    </row>
    <row r="32" spans="1:54" ht="13.5" customHeight="1" x14ac:dyDescent="0.2">
      <c r="A32" s="246"/>
      <c r="B32" s="246"/>
      <c r="C32" s="246"/>
      <c r="D32" s="246"/>
      <c r="E32" s="238"/>
      <c r="F32" s="618"/>
      <c r="G32" s="261" t="s">
        <v>560</v>
      </c>
      <c r="H32" s="262"/>
      <c r="I32" s="431">
        <f>V10</f>
        <v>271.44853949608307</v>
      </c>
      <c r="J32" s="263"/>
      <c r="K32" s="264"/>
      <c r="L32" s="263"/>
      <c r="M32" s="263"/>
      <c r="N32" s="263"/>
      <c r="O32" s="263"/>
      <c r="P32" s="238"/>
      <c r="Q32" s="286"/>
      <c r="R32" s="352"/>
      <c r="S32" s="353"/>
      <c r="T32" s="353"/>
      <c r="U32" s="353"/>
      <c r="V32" s="353"/>
      <c r="W32" s="354"/>
      <c r="Y32" s="246"/>
      <c r="Z32" s="246"/>
      <c r="AA32" s="246"/>
      <c r="AB32" s="246"/>
      <c r="AC32" s="246"/>
      <c r="AD32" s="246"/>
      <c r="AE32" s="246"/>
      <c r="AF32" s="246"/>
      <c r="AG32" s="246"/>
      <c r="AH32" s="246"/>
      <c r="AI32" s="246"/>
      <c r="AJ32" s="246"/>
      <c r="AK32" s="246"/>
      <c r="AL32" s="246"/>
      <c r="AM32" s="246"/>
      <c r="AN32" s="246"/>
      <c r="AO32" s="246"/>
      <c r="AP32" s="246"/>
      <c r="AQ32" s="246"/>
      <c r="AS32" s="232"/>
      <c r="AT32" s="278"/>
      <c r="AU32" s="278"/>
      <c r="AV32" s="278"/>
      <c r="AW32" s="278"/>
      <c r="AX32" s="232"/>
      <c r="AY32" s="279"/>
      <c r="AZ32" s="232"/>
      <c r="BA32" s="232"/>
    </row>
    <row r="33" spans="1:53" ht="13.75" customHeight="1" thickBot="1" x14ac:dyDescent="0.25">
      <c r="A33" s="246"/>
      <c r="B33" s="246"/>
      <c r="C33" s="246"/>
      <c r="D33" s="246"/>
      <c r="E33" s="246"/>
      <c r="F33" s="618"/>
      <c r="G33" s="261" t="s">
        <v>566</v>
      </c>
      <c r="H33" s="262"/>
      <c r="I33" s="431">
        <f>V11</f>
        <v>1421.8054486311669</v>
      </c>
      <c r="J33" s="238"/>
      <c r="K33" s="244"/>
      <c r="L33" s="238"/>
      <c r="M33" s="238"/>
      <c r="N33" s="238"/>
      <c r="O33" s="238"/>
      <c r="P33" s="246"/>
      <c r="Q33" s="286"/>
      <c r="R33" s="642" t="s">
        <v>248</v>
      </c>
      <c r="S33" s="643"/>
      <c r="T33" s="643"/>
      <c r="U33" s="643"/>
      <c r="V33" s="643"/>
      <c r="W33" s="502">
        <f>$G$10*U37</f>
        <v>48.7</v>
      </c>
      <c r="X33" s="286"/>
      <c r="Y33" s="286"/>
      <c r="Z33" s="246"/>
      <c r="AA33" s="246"/>
      <c r="AB33" s="246"/>
      <c r="AC33" s="246"/>
      <c r="AD33" s="246"/>
      <c r="AE33" s="246"/>
      <c r="AF33" s="246"/>
      <c r="AG33" s="246"/>
      <c r="AH33" s="246"/>
      <c r="AI33" s="246"/>
      <c r="AJ33" s="246"/>
      <c r="AK33" s="246"/>
      <c r="AL33" s="246"/>
      <c r="AM33" s="246"/>
      <c r="AN33" s="246"/>
      <c r="AO33" s="246"/>
      <c r="AP33" s="246"/>
      <c r="AQ33" s="246"/>
      <c r="AS33" s="232" t="str">
        <f>IF(AS30&lt;$D$14,AS30+1,"")</f>
        <v/>
      </c>
      <c r="AT33" s="278">
        <f>IF(ISNUMBER(AS33),AW30,0)</f>
        <v>0</v>
      </c>
      <c r="AU33" s="278"/>
      <c r="AV33" s="278">
        <f t="shared" si="2"/>
        <v>0</v>
      </c>
      <c r="AW33" s="278">
        <f t="shared" si="6"/>
        <v>0</v>
      </c>
      <c r="AX33" s="232">
        <f>IF(ISNUMBER(AS35),SUM(AU33:AV33),SUM(AU33:AW33))</f>
        <v>0</v>
      </c>
      <c r="AY33" s="279">
        <f>LN(AX33+$J$37)-LN($J$37)</f>
        <v>0</v>
      </c>
      <c r="AZ33" s="232">
        <f t="shared" si="4"/>
        <v>0</v>
      </c>
    </row>
    <row r="34" spans="1:53" ht="13.75" customHeight="1" thickBot="1" x14ac:dyDescent="0.25">
      <c r="A34" s="246"/>
      <c r="B34" s="246"/>
      <c r="C34" s="246"/>
      <c r="D34" s="246"/>
      <c r="E34" s="246"/>
      <c r="F34" s="680"/>
      <c r="G34" s="289" t="s">
        <v>390</v>
      </c>
      <c r="H34" s="290"/>
      <c r="I34" s="432" t="str">
        <f>V12</f>
        <v>-</v>
      </c>
      <c r="J34" s="239"/>
      <c r="K34" s="325"/>
      <c r="L34" s="238"/>
      <c r="M34" s="238"/>
      <c r="N34" s="238"/>
      <c r="O34" s="238"/>
      <c r="P34" s="246"/>
      <c r="Q34" s="286"/>
      <c r="R34" s="378"/>
      <c r="S34" s="378"/>
      <c r="T34" s="378"/>
      <c r="U34" s="378"/>
      <c r="V34" s="378"/>
      <c r="W34" s="287"/>
      <c r="X34" s="287"/>
      <c r="Y34" s="286"/>
      <c r="Z34" s="246"/>
      <c r="AA34" s="246"/>
      <c r="AB34" s="246"/>
      <c r="AC34" s="246"/>
      <c r="AD34" s="246"/>
      <c r="AE34" s="246"/>
      <c r="AF34" s="246"/>
      <c r="AG34" s="246"/>
      <c r="AH34" s="246"/>
      <c r="AI34" s="246"/>
      <c r="AJ34" s="246"/>
      <c r="AK34" s="246"/>
      <c r="AL34" s="246"/>
      <c r="AM34" s="246"/>
      <c r="AN34" s="246"/>
      <c r="AO34" s="246"/>
      <c r="AP34" s="246"/>
      <c r="AQ34" s="246"/>
      <c r="AS34" s="232"/>
      <c r="AT34" s="278"/>
      <c r="AU34" s="278"/>
      <c r="AV34" s="278"/>
      <c r="AW34" s="278"/>
      <c r="AX34" s="232"/>
      <c r="AY34" s="279"/>
      <c r="AZ34" s="232"/>
    </row>
    <row r="35" spans="1:53" ht="51" customHeight="1" thickBot="1" x14ac:dyDescent="0.25">
      <c r="B35" s="246"/>
      <c r="C35" s="246"/>
      <c r="D35" s="246"/>
      <c r="E35" s="246"/>
      <c r="F35" s="246"/>
      <c r="G35" s="246"/>
      <c r="H35" s="246"/>
      <c r="I35" s="309"/>
      <c r="J35" s="309"/>
      <c r="K35" s="246"/>
      <c r="L35" s="246"/>
      <c r="M35" s="246"/>
      <c r="N35" s="246"/>
      <c r="O35" s="246"/>
      <c r="P35" s="246"/>
      <c r="Q35" s="286"/>
      <c r="R35" s="286"/>
      <c r="S35" s="286"/>
      <c r="T35" s="286"/>
      <c r="U35" s="286"/>
      <c r="W35" s="246"/>
      <c r="Y35" s="286"/>
      <c r="Z35" s="246"/>
      <c r="AA35" s="246"/>
      <c r="AB35" s="246"/>
      <c r="AC35" s="246"/>
      <c r="AD35" s="246"/>
      <c r="AE35" s="246"/>
      <c r="AF35" s="246"/>
      <c r="AG35" s="246"/>
      <c r="AH35" s="246"/>
      <c r="AI35" s="246"/>
      <c r="AJ35" s="246"/>
      <c r="AK35" s="246"/>
      <c r="AL35" s="246"/>
      <c r="AM35" s="246"/>
      <c r="AN35" s="246"/>
      <c r="AR35" s="232"/>
      <c r="AS35" s="232" t="str">
        <f>IF(AS33&lt;$D$14,AS33+1,"")</f>
        <v/>
      </c>
      <c r="AT35" s="278">
        <f>IF(ISNUMBER(AS35),AW33,0)</f>
        <v>0</v>
      </c>
      <c r="AU35" s="278"/>
      <c r="AV35" s="278">
        <f t="shared" si="2"/>
        <v>0</v>
      </c>
      <c r="AW35" s="278">
        <f t="shared" si="6"/>
        <v>0</v>
      </c>
      <c r="AX35" s="232">
        <f t="shared" si="7"/>
        <v>0</v>
      </c>
      <c r="AY35" s="279">
        <f>LN(AX35+$J$37)-LN($J$37)</f>
        <v>0</v>
      </c>
      <c r="AZ35" s="232">
        <f t="shared" si="4"/>
        <v>0</v>
      </c>
    </row>
    <row r="36" spans="1:53" ht="31.5" customHeight="1" x14ac:dyDescent="0.2">
      <c r="A36" s="246"/>
      <c r="B36" s="644" t="s">
        <v>557</v>
      </c>
      <c r="C36" s="248"/>
      <c r="D36" s="647" t="s">
        <v>552</v>
      </c>
      <c r="E36" s="648"/>
      <c r="F36" s="649"/>
      <c r="G36" s="250" t="s">
        <v>544</v>
      </c>
      <c r="H36" s="647" t="s">
        <v>555</v>
      </c>
      <c r="I36" s="649"/>
      <c r="J36" s="647" t="s">
        <v>554</v>
      </c>
      <c r="K36" s="648"/>
      <c r="L36" s="648"/>
      <c r="M36" s="648"/>
      <c r="N36" s="649"/>
      <c r="O36" s="647" t="s">
        <v>545</v>
      </c>
      <c r="P36" s="649"/>
      <c r="Q36" s="470" t="s">
        <v>546</v>
      </c>
      <c r="R36" s="281" t="s">
        <v>441</v>
      </c>
      <c r="S36" s="466" t="s">
        <v>553</v>
      </c>
      <c r="T36" s="467"/>
      <c r="U36" s="281" t="s">
        <v>435</v>
      </c>
      <c r="V36" s="281" t="s">
        <v>401</v>
      </c>
      <c r="W36" s="283" t="s">
        <v>404</v>
      </c>
      <c r="X36" s="212"/>
      <c r="Y36" s="246"/>
      <c r="Z36" s="246"/>
      <c r="AA36" s="246"/>
      <c r="AB36" s="246"/>
      <c r="AC36" s="246"/>
      <c r="AD36" s="246"/>
      <c r="AE36" s="246"/>
      <c r="AF36" s="246"/>
      <c r="AG36" s="246"/>
      <c r="AH36" s="246"/>
      <c r="AI36" s="246"/>
      <c r="AJ36" s="246"/>
      <c r="AK36" s="246"/>
      <c r="AL36" s="246"/>
      <c r="AM36" s="246"/>
      <c r="AN36" s="246"/>
      <c r="AR36" s="232"/>
      <c r="AS36" s="232" t="str">
        <f t="shared" si="1"/>
        <v/>
      </c>
      <c r="AT36" s="278">
        <f t="shared" si="5"/>
        <v>0</v>
      </c>
      <c r="AU36" s="278"/>
      <c r="AV36" s="278">
        <f t="shared" si="2"/>
        <v>0</v>
      </c>
      <c r="AW36" s="278">
        <f t="shared" si="6"/>
        <v>0</v>
      </c>
      <c r="AX36" s="232">
        <f t="shared" si="7"/>
        <v>0</v>
      </c>
      <c r="AY36" s="279">
        <f>LN(AX36+$J$37)-LN($J$37)</f>
        <v>0</v>
      </c>
      <c r="AZ36" s="232">
        <f t="shared" si="4"/>
        <v>0</v>
      </c>
      <c r="BA36" s="232"/>
    </row>
    <row r="37" spans="1:53" ht="12" customHeight="1" x14ac:dyDescent="0.2">
      <c r="A37" s="246"/>
      <c r="B37" s="645"/>
      <c r="C37" s="251" t="s">
        <v>548</v>
      </c>
      <c r="D37" s="650">
        <f>Parameters!$D$29</f>
        <v>0.26900000000000002</v>
      </c>
      <c r="E37" s="651"/>
      <c r="F37" s="652"/>
      <c r="G37" s="255">
        <f>Parameters!$D$30</f>
        <v>2.41</v>
      </c>
      <c r="H37" s="653">
        <f>Parameters!$D$61</f>
        <v>4.7</v>
      </c>
      <c r="I37" s="654"/>
      <c r="J37" s="629">
        <f>Parameters!$D$58</f>
        <v>285.92228810603416</v>
      </c>
      <c r="K37" s="630"/>
      <c r="L37" s="630"/>
      <c r="M37" s="630"/>
      <c r="N37" s="631"/>
      <c r="O37" s="632">
        <f>Parameters!$D$59</f>
        <v>1000</v>
      </c>
      <c r="P37" s="633"/>
      <c r="Q37" s="280">
        <f>Parameters!$D$60</f>
        <v>212.7659574468085</v>
      </c>
      <c r="R37" s="518">
        <f>Parameters!$D$49</f>
        <v>2838.2630576673801</v>
      </c>
      <c r="S37" s="282">
        <f>Parameters!$D$50</f>
        <v>3.6112369528824271</v>
      </c>
      <c r="T37" s="464"/>
      <c r="U37" s="340">
        <f>Parameters!$D$11</f>
        <v>36.525000000000006</v>
      </c>
      <c r="V37" s="328">
        <f>Parameters!$D$45</f>
        <v>15</v>
      </c>
      <c r="W37" s="320">
        <f>Parameters!$D$46</f>
        <v>0.43099999999999999</v>
      </c>
      <c r="X37" s="316"/>
      <c r="Y37" s="246"/>
      <c r="Z37" s="238"/>
      <c r="AA37" s="246"/>
      <c r="AB37" s="246"/>
      <c r="AC37" s="246"/>
      <c r="AD37" s="246"/>
      <c r="AE37" s="246"/>
      <c r="AF37" s="246"/>
      <c r="AG37" s="246"/>
      <c r="AH37" s="246"/>
      <c r="AI37" s="246"/>
      <c r="AJ37" s="246"/>
      <c r="AK37" s="246"/>
      <c r="AL37" s="246"/>
      <c r="AM37" s="246"/>
      <c r="AN37" s="246"/>
      <c r="AO37" s="246"/>
      <c r="AS37" s="232" t="str">
        <f t="shared" si="1"/>
        <v/>
      </c>
      <c r="AT37" s="278">
        <f t="shared" si="5"/>
        <v>0</v>
      </c>
      <c r="AU37" s="278"/>
      <c r="AV37" s="278">
        <f t="shared" si="2"/>
        <v>0</v>
      </c>
      <c r="AW37" s="278">
        <f t="shared" si="6"/>
        <v>0</v>
      </c>
      <c r="AX37" s="232">
        <f t="shared" si="7"/>
        <v>0</v>
      </c>
      <c r="AY37" s="279">
        <f>LN(AX37+$J$37)-LN($J$37)</f>
        <v>0</v>
      </c>
      <c r="AZ37" s="232">
        <f t="shared" si="4"/>
        <v>0</v>
      </c>
      <c r="BA37" s="232"/>
    </row>
    <row r="38" spans="1:53" ht="12" customHeight="1" thickBot="1" x14ac:dyDescent="0.25">
      <c r="A38" s="246"/>
      <c r="B38" s="646"/>
      <c r="C38" s="252" t="s">
        <v>549</v>
      </c>
      <c r="D38" s="634" t="s">
        <v>218</v>
      </c>
      <c r="E38" s="635"/>
      <c r="F38" s="635"/>
      <c r="G38" s="636"/>
      <c r="H38" s="392" t="s">
        <v>551</v>
      </c>
      <c r="I38" s="393"/>
      <c r="J38" s="393"/>
      <c r="K38" s="393"/>
      <c r="L38" s="393"/>
      <c r="M38" s="393"/>
      <c r="N38" s="393"/>
      <c r="O38" s="393"/>
      <c r="P38" s="393"/>
      <c r="Q38" s="394"/>
      <c r="R38" s="634" t="s">
        <v>131</v>
      </c>
      <c r="S38" s="635"/>
      <c r="T38" s="636"/>
      <c r="U38" s="329" t="s">
        <v>253</v>
      </c>
      <c r="V38" s="330" t="s">
        <v>402</v>
      </c>
      <c r="W38" s="331" t="s">
        <v>349</v>
      </c>
      <c r="X38" s="429"/>
      <c r="Y38" s="246"/>
      <c r="Z38" s="238"/>
      <c r="AA38" s="246"/>
      <c r="AB38" s="246"/>
      <c r="AC38" s="246"/>
      <c r="AD38" s="246"/>
      <c r="AE38" s="246"/>
      <c r="AF38" s="246"/>
      <c r="AG38" s="246"/>
      <c r="AH38" s="246"/>
      <c r="AI38" s="246"/>
      <c r="AJ38" s="246"/>
      <c r="AK38" s="246"/>
      <c r="AL38" s="246"/>
      <c r="AM38" s="246"/>
      <c r="AN38" s="246"/>
      <c r="AO38" s="246"/>
      <c r="AP38" s="246"/>
      <c r="AQ38" s="246"/>
      <c r="AS38" s="232" t="str">
        <f t="shared" si="1"/>
        <v/>
      </c>
      <c r="AT38" s="278">
        <f t="shared" si="5"/>
        <v>0</v>
      </c>
      <c r="AU38" s="278"/>
      <c r="AV38" s="278">
        <f t="shared" si="2"/>
        <v>0</v>
      </c>
      <c r="AW38" s="278">
        <f t="shared" si="6"/>
        <v>0</v>
      </c>
      <c r="AX38" s="232">
        <f t="shared" si="7"/>
        <v>0</v>
      </c>
      <c r="AY38" s="279">
        <f>LN(AX38+$J$37)-LN($J$37)</f>
        <v>0</v>
      </c>
      <c r="AZ38" s="232">
        <f t="shared" si="4"/>
        <v>0</v>
      </c>
      <c r="BA38" s="232"/>
    </row>
    <row r="39" spans="1:53" s="246" customFormat="1" ht="15" x14ac:dyDescent="0.2">
      <c r="J39" s="309"/>
      <c r="K39" s="309"/>
      <c r="L39" s="309"/>
      <c r="M39" s="309"/>
      <c r="Z39" s="238"/>
      <c r="AS39" s="288" t="str">
        <f t="shared" si="1"/>
        <v/>
      </c>
      <c r="AT39" s="326">
        <f t="shared" si="5"/>
        <v>0</v>
      </c>
      <c r="AU39" s="326"/>
      <c r="AV39" s="326">
        <f t="shared" si="2"/>
        <v>0</v>
      </c>
      <c r="AW39" s="326">
        <f t="shared" si="6"/>
        <v>0</v>
      </c>
      <c r="AX39" s="288">
        <f t="shared" si="7"/>
        <v>0</v>
      </c>
      <c r="AY39" s="327">
        <f t="shared" ref="AY39:AY102" si="8">LN(AX39+$J$37)-LN($J$37)</f>
        <v>0</v>
      </c>
      <c r="AZ39" s="288">
        <f t="shared" si="4"/>
        <v>0</v>
      </c>
      <c r="BA39" s="288"/>
    </row>
    <row r="40" spans="1:53" s="246" customFormat="1" ht="15" x14ac:dyDescent="0.2">
      <c r="R40" s="309"/>
      <c r="AS40" s="288" t="str">
        <f t="shared" si="1"/>
        <v/>
      </c>
      <c r="AT40" s="326">
        <f t="shared" si="5"/>
        <v>0</v>
      </c>
      <c r="AU40" s="326"/>
      <c r="AV40" s="326">
        <f t="shared" si="2"/>
        <v>0</v>
      </c>
      <c r="AW40" s="326">
        <f t="shared" si="6"/>
        <v>0</v>
      </c>
      <c r="AX40" s="288">
        <f t="shared" si="7"/>
        <v>0</v>
      </c>
      <c r="AY40" s="327">
        <f t="shared" si="8"/>
        <v>0</v>
      </c>
      <c r="AZ40" s="288">
        <f t="shared" si="4"/>
        <v>0</v>
      </c>
      <c r="BA40" s="288"/>
    </row>
    <row r="41" spans="1:53" s="246" customFormat="1" ht="15" x14ac:dyDescent="0.2">
      <c r="R41" s="309"/>
      <c r="AS41" s="288" t="str">
        <f t="shared" si="1"/>
        <v/>
      </c>
      <c r="AT41" s="326">
        <f t="shared" si="5"/>
        <v>0</v>
      </c>
      <c r="AU41" s="326"/>
      <c r="AV41" s="326">
        <f t="shared" si="2"/>
        <v>0</v>
      </c>
      <c r="AW41" s="326">
        <f t="shared" si="6"/>
        <v>0</v>
      </c>
      <c r="AX41" s="288">
        <f t="shared" si="7"/>
        <v>0</v>
      </c>
      <c r="AY41" s="327">
        <f t="shared" si="8"/>
        <v>0</v>
      </c>
      <c r="AZ41" s="288">
        <f t="shared" si="4"/>
        <v>0</v>
      </c>
      <c r="BA41" s="288"/>
    </row>
    <row r="42" spans="1:53" s="246" customFormat="1" ht="15" x14ac:dyDescent="0.2">
      <c r="R42" s="309"/>
      <c r="S42" s="410"/>
      <c r="AS42" s="288" t="str">
        <f t="shared" si="1"/>
        <v/>
      </c>
      <c r="AT42" s="326">
        <f t="shared" si="5"/>
        <v>0</v>
      </c>
      <c r="AU42" s="326"/>
      <c r="AV42" s="326">
        <f t="shared" si="2"/>
        <v>0</v>
      </c>
      <c r="AW42" s="326">
        <f t="shared" si="6"/>
        <v>0</v>
      </c>
      <c r="AX42" s="288">
        <f t="shared" si="7"/>
        <v>0</v>
      </c>
      <c r="AY42" s="327">
        <f t="shared" si="8"/>
        <v>0</v>
      </c>
      <c r="AZ42" s="288">
        <f t="shared" si="4"/>
        <v>0</v>
      </c>
      <c r="BA42" s="288"/>
    </row>
    <row r="43" spans="1:53" s="246" customFormat="1" ht="15" x14ac:dyDescent="0.2">
      <c r="R43" s="412"/>
      <c r="S43" s="387"/>
      <c r="AS43" s="288" t="str">
        <f t="shared" si="1"/>
        <v/>
      </c>
      <c r="AT43" s="326">
        <f t="shared" si="5"/>
        <v>0</v>
      </c>
      <c r="AU43" s="326"/>
      <c r="AV43" s="326">
        <f t="shared" si="2"/>
        <v>0</v>
      </c>
      <c r="AW43" s="326">
        <f t="shared" si="6"/>
        <v>0</v>
      </c>
      <c r="AX43" s="288">
        <f t="shared" si="7"/>
        <v>0</v>
      </c>
      <c r="AY43" s="327">
        <f t="shared" si="8"/>
        <v>0</v>
      </c>
      <c r="AZ43" s="288">
        <f t="shared" si="4"/>
        <v>0</v>
      </c>
      <c r="BA43" s="288"/>
    </row>
    <row r="44" spans="1:53" s="246" customFormat="1" ht="15" x14ac:dyDescent="0.2">
      <c r="S44" s="387"/>
      <c r="AS44" s="288" t="str">
        <f t="shared" si="1"/>
        <v/>
      </c>
      <c r="AT44" s="326">
        <f t="shared" si="5"/>
        <v>0</v>
      </c>
      <c r="AU44" s="326"/>
      <c r="AV44" s="326">
        <f t="shared" si="2"/>
        <v>0</v>
      </c>
      <c r="AW44" s="326">
        <f t="shared" si="6"/>
        <v>0</v>
      </c>
      <c r="AX44" s="288">
        <f t="shared" si="7"/>
        <v>0</v>
      </c>
      <c r="AY44" s="327">
        <f t="shared" si="8"/>
        <v>0</v>
      </c>
      <c r="AZ44" s="288">
        <f t="shared" si="4"/>
        <v>0</v>
      </c>
      <c r="BA44" s="288"/>
    </row>
    <row r="45" spans="1:53" s="246" customFormat="1" ht="15" x14ac:dyDescent="0.2">
      <c r="S45" s="387"/>
      <c r="AS45" s="288" t="str">
        <f t="shared" si="1"/>
        <v/>
      </c>
      <c r="AT45" s="326">
        <f t="shared" si="5"/>
        <v>0</v>
      </c>
      <c r="AU45" s="326"/>
      <c r="AV45" s="326">
        <f t="shared" si="2"/>
        <v>0</v>
      </c>
      <c r="AW45" s="326">
        <f t="shared" si="6"/>
        <v>0</v>
      </c>
      <c r="AX45" s="288">
        <f t="shared" si="7"/>
        <v>0</v>
      </c>
      <c r="AY45" s="327">
        <f t="shared" si="8"/>
        <v>0</v>
      </c>
      <c r="AZ45" s="288">
        <f t="shared" si="4"/>
        <v>0</v>
      </c>
      <c r="BA45" s="288"/>
    </row>
    <row r="46" spans="1:53" s="246" customFormat="1" ht="15" x14ac:dyDescent="0.2">
      <c r="S46" s="387"/>
      <c r="AS46" s="288" t="str">
        <f t="shared" si="1"/>
        <v/>
      </c>
      <c r="AT46" s="326">
        <f t="shared" si="5"/>
        <v>0</v>
      </c>
      <c r="AU46" s="326"/>
      <c r="AV46" s="326">
        <f t="shared" si="2"/>
        <v>0</v>
      </c>
      <c r="AW46" s="326">
        <f t="shared" si="6"/>
        <v>0</v>
      </c>
      <c r="AX46" s="288">
        <f t="shared" si="7"/>
        <v>0</v>
      </c>
      <c r="AY46" s="327">
        <f t="shared" si="8"/>
        <v>0</v>
      </c>
      <c r="AZ46" s="288">
        <f t="shared" si="4"/>
        <v>0</v>
      </c>
      <c r="BA46" s="288"/>
    </row>
    <row r="47" spans="1:53" s="246" customFormat="1" ht="15" x14ac:dyDescent="0.2">
      <c r="S47" s="387"/>
      <c r="AS47" s="288" t="str">
        <f t="shared" si="1"/>
        <v/>
      </c>
      <c r="AT47" s="326">
        <f t="shared" si="5"/>
        <v>0</v>
      </c>
      <c r="AU47" s="326"/>
      <c r="AV47" s="326">
        <f t="shared" si="2"/>
        <v>0</v>
      </c>
      <c r="AW47" s="326">
        <f t="shared" si="6"/>
        <v>0</v>
      </c>
      <c r="AX47" s="288">
        <f t="shared" si="7"/>
        <v>0</v>
      </c>
      <c r="AY47" s="327">
        <f t="shared" si="8"/>
        <v>0</v>
      </c>
      <c r="AZ47" s="288">
        <f t="shared" si="4"/>
        <v>0</v>
      </c>
      <c r="BA47" s="288"/>
    </row>
    <row r="48" spans="1:53" s="246" customFormat="1" ht="15" x14ac:dyDescent="0.2">
      <c r="AS48" s="288" t="str">
        <f t="shared" si="1"/>
        <v/>
      </c>
      <c r="AT48" s="326">
        <f t="shared" si="5"/>
        <v>0</v>
      </c>
      <c r="AU48" s="326"/>
      <c r="AV48" s="326">
        <f t="shared" si="2"/>
        <v>0</v>
      </c>
      <c r="AW48" s="326">
        <f t="shared" si="6"/>
        <v>0</v>
      </c>
      <c r="AX48" s="288">
        <f t="shared" si="7"/>
        <v>0</v>
      </c>
      <c r="AY48" s="327">
        <f t="shared" si="8"/>
        <v>0</v>
      </c>
      <c r="AZ48" s="288">
        <f t="shared" si="4"/>
        <v>0</v>
      </c>
      <c r="BA48" s="288"/>
    </row>
    <row r="49" spans="45:53" s="246" customFormat="1" ht="15" x14ac:dyDescent="0.2">
      <c r="AS49" s="288" t="str">
        <f t="shared" si="1"/>
        <v/>
      </c>
      <c r="AT49" s="326">
        <f t="shared" si="5"/>
        <v>0</v>
      </c>
      <c r="AU49" s="326"/>
      <c r="AV49" s="326">
        <f t="shared" si="2"/>
        <v>0</v>
      </c>
      <c r="AW49" s="326">
        <f t="shared" si="6"/>
        <v>0</v>
      </c>
      <c r="AX49" s="288">
        <f t="shared" si="7"/>
        <v>0</v>
      </c>
      <c r="AY49" s="327">
        <f t="shared" si="8"/>
        <v>0</v>
      </c>
      <c r="AZ49" s="288">
        <f t="shared" si="4"/>
        <v>0</v>
      </c>
      <c r="BA49" s="288"/>
    </row>
    <row r="50" spans="45:53" s="246" customFormat="1" ht="15" x14ac:dyDescent="0.2">
      <c r="AS50" s="288" t="str">
        <f t="shared" si="1"/>
        <v/>
      </c>
      <c r="AT50" s="326">
        <f t="shared" si="5"/>
        <v>0</v>
      </c>
      <c r="AU50" s="326"/>
      <c r="AV50" s="326">
        <f t="shared" si="2"/>
        <v>0</v>
      </c>
      <c r="AW50" s="326">
        <f t="shared" si="6"/>
        <v>0</v>
      </c>
      <c r="AX50" s="288">
        <f t="shared" si="7"/>
        <v>0</v>
      </c>
      <c r="AY50" s="327">
        <f t="shared" si="8"/>
        <v>0</v>
      </c>
      <c r="AZ50" s="288">
        <f t="shared" si="4"/>
        <v>0</v>
      </c>
      <c r="BA50" s="288"/>
    </row>
    <row r="51" spans="45:53" s="246" customFormat="1" ht="15" x14ac:dyDescent="0.2">
      <c r="AS51" s="288" t="str">
        <f t="shared" si="1"/>
        <v/>
      </c>
      <c r="AT51" s="326">
        <f t="shared" si="5"/>
        <v>0</v>
      </c>
      <c r="AU51" s="326"/>
      <c r="AV51" s="326">
        <f t="shared" si="2"/>
        <v>0</v>
      </c>
      <c r="AW51" s="326">
        <f t="shared" si="6"/>
        <v>0</v>
      </c>
      <c r="AX51" s="288">
        <f t="shared" si="7"/>
        <v>0</v>
      </c>
      <c r="AY51" s="327">
        <f t="shared" si="8"/>
        <v>0</v>
      </c>
      <c r="AZ51" s="288">
        <f t="shared" si="4"/>
        <v>0</v>
      </c>
      <c r="BA51" s="288"/>
    </row>
    <row r="52" spans="45:53" s="246" customFormat="1" ht="15" x14ac:dyDescent="0.2">
      <c r="AS52" s="288" t="str">
        <f t="shared" si="1"/>
        <v/>
      </c>
      <c r="AT52" s="326">
        <f t="shared" si="5"/>
        <v>0</v>
      </c>
      <c r="AU52" s="326"/>
      <c r="AV52" s="326">
        <f t="shared" si="2"/>
        <v>0</v>
      </c>
      <c r="AW52" s="326">
        <f t="shared" si="6"/>
        <v>0</v>
      </c>
      <c r="AX52" s="288">
        <f t="shared" si="7"/>
        <v>0</v>
      </c>
      <c r="AY52" s="327">
        <f t="shared" si="8"/>
        <v>0</v>
      </c>
      <c r="AZ52" s="288">
        <f t="shared" si="4"/>
        <v>0</v>
      </c>
      <c r="BA52" s="288"/>
    </row>
    <row r="53" spans="45:53" s="246" customFormat="1" ht="15" x14ac:dyDescent="0.2">
      <c r="AS53" s="288" t="str">
        <f t="shared" si="1"/>
        <v/>
      </c>
      <c r="AT53" s="326">
        <f t="shared" si="5"/>
        <v>0</v>
      </c>
      <c r="AU53" s="326"/>
      <c r="AV53" s="326">
        <f t="shared" si="2"/>
        <v>0</v>
      </c>
      <c r="AW53" s="326">
        <f t="shared" si="6"/>
        <v>0</v>
      </c>
      <c r="AX53" s="288">
        <f t="shared" si="7"/>
        <v>0</v>
      </c>
      <c r="AY53" s="327">
        <f t="shared" si="8"/>
        <v>0</v>
      </c>
      <c r="AZ53" s="288">
        <f t="shared" si="4"/>
        <v>0</v>
      </c>
      <c r="BA53" s="288"/>
    </row>
    <row r="54" spans="45:53" s="246" customFormat="1" ht="15" x14ac:dyDescent="0.2">
      <c r="AS54" s="288" t="str">
        <f t="shared" si="1"/>
        <v/>
      </c>
      <c r="AT54" s="326">
        <f t="shared" si="5"/>
        <v>0</v>
      </c>
      <c r="AU54" s="326"/>
      <c r="AV54" s="326">
        <f t="shared" si="2"/>
        <v>0</v>
      </c>
      <c r="AW54" s="326">
        <f t="shared" si="6"/>
        <v>0</v>
      </c>
      <c r="AX54" s="288">
        <f t="shared" si="7"/>
        <v>0</v>
      </c>
      <c r="AY54" s="327">
        <f t="shared" si="8"/>
        <v>0</v>
      </c>
      <c r="AZ54" s="288">
        <f t="shared" si="4"/>
        <v>0</v>
      </c>
      <c r="BA54" s="288"/>
    </row>
    <row r="55" spans="45:53" s="246" customFormat="1" ht="15" x14ac:dyDescent="0.2">
      <c r="AS55" s="288" t="str">
        <f t="shared" si="1"/>
        <v/>
      </c>
      <c r="AT55" s="326">
        <f t="shared" si="5"/>
        <v>0</v>
      </c>
      <c r="AU55" s="326"/>
      <c r="AV55" s="326">
        <f t="shared" si="2"/>
        <v>0</v>
      </c>
      <c r="AW55" s="326">
        <f t="shared" si="6"/>
        <v>0</v>
      </c>
      <c r="AX55" s="288">
        <f t="shared" si="7"/>
        <v>0</v>
      </c>
      <c r="AY55" s="327">
        <f t="shared" si="8"/>
        <v>0</v>
      </c>
      <c r="AZ55" s="288">
        <f t="shared" si="4"/>
        <v>0</v>
      </c>
      <c r="BA55" s="288"/>
    </row>
    <row r="56" spans="45:53" s="246" customFormat="1" ht="15" x14ac:dyDescent="0.2">
      <c r="AS56" s="288" t="str">
        <f t="shared" si="1"/>
        <v/>
      </c>
      <c r="AT56" s="326">
        <f t="shared" si="5"/>
        <v>0</v>
      </c>
      <c r="AU56" s="326"/>
      <c r="AV56" s="326">
        <f t="shared" si="2"/>
        <v>0</v>
      </c>
      <c r="AW56" s="326">
        <f t="shared" si="6"/>
        <v>0</v>
      </c>
      <c r="AX56" s="288">
        <f t="shared" si="7"/>
        <v>0</v>
      </c>
      <c r="AY56" s="327">
        <f t="shared" si="8"/>
        <v>0</v>
      </c>
      <c r="AZ56" s="288">
        <f t="shared" si="4"/>
        <v>0</v>
      </c>
      <c r="BA56" s="288"/>
    </row>
    <row r="57" spans="45:53" s="246" customFormat="1" ht="15" x14ac:dyDescent="0.2">
      <c r="AS57" s="288" t="str">
        <f t="shared" si="1"/>
        <v/>
      </c>
      <c r="AT57" s="326">
        <f t="shared" si="5"/>
        <v>0</v>
      </c>
      <c r="AU57" s="326"/>
      <c r="AV57" s="326">
        <f t="shared" si="2"/>
        <v>0</v>
      </c>
      <c r="AW57" s="326">
        <f t="shared" si="6"/>
        <v>0</v>
      </c>
      <c r="AX57" s="288">
        <f t="shared" si="7"/>
        <v>0</v>
      </c>
      <c r="AY57" s="327">
        <f t="shared" si="8"/>
        <v>0</v>
      </c>
      <c r="AZ57" s="288">
        <f t="shared" si="4"/>
        <v>0</v>
      </c>
      <c r="BA57" s="288"/>
    </row>
    <row r="58" spans="45:53" s="246" customFormat="1" ht="15" x14ac:dyDescent="0.2">
      <c r="AS58" s="288" t="str">
        <f t="shared" si="1"/>
        <v/>
      </c>
      <c r="AT58" s="326">
        <f t="shared" si="5"/>
        <v>0</v>
      </c>
      <c r="AU58" s="326"/>
      <c r="AV58" s="326">
        <f t="shared" si="2"/>
        <v>0</v>
      </c>
      <c r="AW58" s="326">
        <f t="shared" si="6"/>
        <v>0</v>
      </c>
      <c r="AX58" s="288">
        <f t="shared" si="7"/>
        <v>0</v>
      </c>
      <c r="AY58" s="327">
        <f t="shared" si="8"/>
        <v>0</v>
      </c>
      <c r="AZ58" s="288">
        <f t="shared" si="4"/>
        <v>0</v>
      </c>
      <c r="BA58" s="288"/>
    </row>
    <row r="59" spans="45:53" s="246" customFormat="1" ht="15" x14ac:dyDescent="0.2">
      <c r="AS59" s="288" t="str">
        <f t="shared" si="1"/>
        <v/>
      </c>
      <c r="AT59" s="326">
        <f t="shared" si="5"/>
        <v>0</v>
      </c>
      <c r="AU59" s="326"/>
      <c r="AV59" s="326">
        <f t="shared" si="2"/>
        <v>0</v>
      </c>
      <c r="AW59" s="326">
        <f t="shared" si="6"/>
        <v>0</v>
      </c>
      <c r="AX59" s="288">
        <f t="shared" si="7"/>
        <v>0</v>
      </c>
      <c r="AY59" s="327">
        <f t="shared" si="8"/>
        <v>0</v>
      </c>
      <c r="AZ59" s="288">
        <f t="shared" si="4"/>
        <v>0</v>
      </c>
      <c r="BA59" s="288"/>
    </row>
    <row r="60" spans="45:53" s="246" customFormat="1" ht="15" x14ac:dyDescent="0.2">
      <c r="AS60" s="288" t="str">
        <f t="shared" si="1"/>
        <v/>
      </c>
      <c r="AT60" s="326">
        <f t="shared" si="5"/>
        <v>0</v>
      </c>
      <c r="AU60" s="326"/>
      <c r="AV60" s="326">
        <f t="shared" si="2"/>
        <v>0</v>
      </c>
      <c r="AW60" s="326">
        <f t="shared" si="6"/>
        <v>0</v>
      </c>
      <c r="AX60" s="288">
        <f t="shared" si="7"/>
        <v>0</v>
      </c>
      <c r="AY60" s="327">
        <f t="shared" si="8"/>
        <v>0</v>
      </c>
      <c r="AZ60" s="288">
        <f t="shared" si="4"/>
        <v>0</v>
      </c>
      <c r="BA60" s="288"/>
    </row>
    <row r="61" spans="45:53" s="246" customFormat="1" ht="15" x14ac:dyDescent="0.2">
      <c r="AS61" s="288" t="str">
        <f t="shared" si="1"/>
        <v/>
      </c>
      <c r="AT61" s="326">
        <f t="shared" si="5"/>
        <v>0</v>
      </c>
      <c r="AU61" s="326"/>
      <c r="AV61" s="326">
        <f t="shared" si="2"/>
        <v>0</v>
      </c>
      <c r="AW61" s="326">
        <f t="shared" si="6"/>
        <v>0</v>
      </c>
      <c r="AX61" s="288">
        <f t="shared" si="7"/>
        <v>0</v>
      </c>
      <c r="AY61" s="327">
        <f t="shared" si="8"/>
        <v>0</v>
      </c>
      <c r="AZ61" s="288">
        <f t="shared" si="4"/>
        <v>0</v>
      </c>
      <c r="BA61" s="288"/>
    </row>
    <row r="62" spans="45:53" s="246" customFormat="1" ht="15" x14ac:dyDescent="0.2">
      <c r="AS62" s="288" t="str">
        <f t="shared" si="1"/>
        <v/>
      </c>
      <c r="AT62" s="326">
        <f t="shared" si="5"/>
        <v>0</v>
      </c>
      <c r="AU62" s="326"/>
      <c r="AV62" s="326">
        <f t="shared" si="2"/>
        <v>0</v>
      </c>
      <c r="AW62" s="326">
        <f t="shared" si="6"/>
        <v>0</v>
      </c>
      <c r="AX62" s="288">
        <f t="shared" si="7"/>
        <v>0</v>
      </c>
      <c r="AY62" s="327">
        <f t="shared" si="8"/>
        <v>0</v>
      </c>
      <c r="AZ62" s="288">
        <f t="shared" si="4"/>
        <v>0</v>
      </c>
      <c r="BA62" s="288"/>
    </row>
    <row r="63" spans="45:53" s="246" customFormat="1" ht="15" x14ac:dyDescent="0.2">
      <c r="AS63" s="288" t="str">
        <f t="shared" si="1"/>
        <v/>
      </c>
      <c r="AT63" s="326">
        <f t="shared" si="5"/>
        <v>0</v>
      </c>
      <c r="AU63" s="326"/>
      <c r="AV63" s="326">
        <f t="shared" si="2"/>
        <v>0</v>
      </c>
      <c r="AW63" s="326">
        <f t="shared" si="6"/>
        <v>0</v>
      </c>
      <c r="AX63" s="288">
        <f t="shared" si="7"/>
        <v>0</v>
      </c>
      <c r="AY63" s="327">
        <f t="shared" si="8"/>
        <v>0</v>
      </c>
      <c r="AZ63" s="288">
        <f t="shared" si="4"/>
        <v>0</v>
      </c>
      <c r="BA63" s="288"/>
    </row>
    <row r="64" spans="45:53" s="246" customFormat="1" ht="15" x14ac:dyDescent="0.2">
      <c r="AS64" s="288" t="str">
        <f t="shared" si="1"/>
        <v/>
      </c>
      <c r="AT64" s="326">
        <f t="shared" si="5"/>
        <v>0</v>
      </c>
      <c r="AU64" s="326"/>
      <c r="AV64" s="326">
        <f t="shared" si="2"/>
        <v>0</v>
      </c>
      <c r="AW64" s="326">
        <f t="shared" si="6"/>
        <v>0</v>
      </c>
      <c r="AX64" s="288">
        <f t="shared" si="7"/>
        <v>0</v>
      </c>
      <c r="AY64" s="327">
        <f t="shared" si="8"/>
        <v>0</v>
      </c>
      <c r="AZ64" s="288">
        <f t="shared" si="4"/>
        <v>0</v>
      </c>
      <c r="BA64" s="288"/>
    </row>
    <row r="65" spans="45:53" s="246" customFormat="1" ht="15" x14ac:dyDescent="0.2">
      <c r="AS65" s="288" t="str">
        <f t="shared" si="1"/>
        <v/>
      </c>
      <c r="AT65" s="326">
        <f t="shared" si="5"/>
        <v>0</v>
      </c>
      <c r="AU65" s="326"/>
      <c r="AV65" s="326">
        <f t="shared" si="2"/>
        <v>0</v>
      </c>
      <c r="AW65" s="326">
        <f t="shared" si="6"/>
        <v>0</v>
      </c>
      <c r="AX65" s="288">
        <f t="shared" si="7"/>
        <v>0</v>
      </c>
      <c r="AY65" s="327">
        <f t="shared" si="8"/>
        <v>0</v>
      </c>
      <c r="AZ65" s="288">
        <f t="shared" si="4"/>
        <v>0</v>
      </c>
      <c r="BA65" s="288"/>
    </row>
    <row r="66" spans="45:53" s="246" customFormat="1" ht="15" x14ac:dyDescent="0.2">
      <c r="AS66" s="288" t="str">
        <f t="shared" si="1"/>
        <v/>
      </c>
      <c r="AT66" s="326">
        <f t="shared" si="5"/>
        <v>0</v>
      </c>
      <c r="AU66" s="326"/>
      <c r="AV66" s="326">
        <f t="shared" si="2"/>
        <v>0</v>
      </c>
      <c r="AW66" s="326">
        <f t="shared" si="6"/>
        <v>0</v>
      </c>
      <c r="AX66" s="288">
        <f t="shared" si="7"/>
        <v>0</v>
      </c>
      <c r="AY66" s="327">
        <f t="shared" si="8"/>
        <v>0</v>
      </c>
      <c r="AZ66" s="288">
        <f t="shared" si="4"/>
        <v>0</v>
      </c>
      <c r="BA66" s="288"/>
    </row>
    <row r="67" spans="45:53" s="246" customFormat="1" ht="15" x14ac:dyDescent="0.2">
      <c r="AS67" s="288" t="str">
        <f t="shared" si="1"/>
        <v/>
      </c>
      <c r="AT67" s="326">
        <f t="shared" si="5"/>
        <v>0</v>
      </c>
      <c r="AU67" s="326"/>
      <c r="AV67" s="326">
        <f t="shared" si="2"/>
        <v>0</v>
      </c>
      <c r="AW67" s="326">
        <f t="shared" si="6"/>
        <v>0</v>
      </c>
      <c r="AX67" s="288">
        <f t="shared" si="7"/>
        <v>0</v>
      </c>
      <c r="AY67" s="327">
        <f t="shared" si="8"/>
        <v>0</v>
      </c>
      <c r="AZ67" s="288">
        <f t="shared" si="4"/>
        <v>0</v>
      </c>
      <c r="BA67" s="288"/>
    </row>
    <row r="68" spans="45:53" s="246" customFormat="1" ht="15" x14ac:dyDescent="0.2">
      <c r="AS68" s="288" t="str">
        <f t="shared" si="1"/>
        <v/>
      </c>
      <c r="AT68" s="326">
        <f t="shared" si="5"/>
        <v>0</v>
      </c>
      <c r="AU68" s="326"/>
      <c r="AV68" s="326">
        <f t="shared" si="2"/>
        <v>0</v>
      </c>
      <c r="AW68" s="326">
        <f t="shared" si="6"/>
        <v>0</v>
      </c>
      <c r="AX68" s="288">
        <f t="shared" si="7"/>
        <v>0</v>
      </c>
      <c r="AY68" s="327">
        <f t="shared" si="8"/>
        <v>0</v>
      </c>
      <c r="AZ68" s="288">
        <f t="shared" si="4"/>
        <v>0</v>
      </c>
      <c r="BA68" s="288"/>
    </row>
    <row r="69" spans="45:53" s="246" customFormat="1" ht="15" x14ac:dyDescent="0.2">
      <c r="AS69" s="288" t="str">
        <f t="shared" ref="AS69:AS114" si="9">IF(AS68&lt;$D$14,AS68+1,"")</f>
        <v/>
      </c>
      <c r="AT69" s="326">
        <f t="shared" si="5"/>
        <v>0</v>
      </c>
      <c r="AU69" s="326"/>
      <c r="AV69" s="326">
        <f t="shared" si="2"/>
        <v>0</v>
      </c>
      <c r="AW69" s="326">
        <f t="shared" si="6"/>
        <v>0</v>
      </c>
      <c r="AX69" s="288">
        <f t="shared" si="7"/>
        <v>0</v>
      </c>
      <c r="AY69" s="327">
        <f t="shared" si="8"/>
        <v>0</v>
      </c>
      <c r="AZ69" s="288">
        <f t="shared" si="4"/>
        <v>0</v>
      </c>
      <c r="BA69" s="288"/>
    </row>
    <row r="70" spans="45:53" s="246" customFormat="1" ht="15" x14ac:dyDescent="0.2">
      <c r="AS70" s="288" t="str">
        <f t="shared" si="9"/>
        <v/>
      </c>
      <c r="AT70" s="326">
        <f t="shared" si="5"/>
        <v>0</v>
      </c>
      <c r="AU70" s="326"/>
      <c r="AV70" s="326">
        <f t="shared" si="2"/>
        <v>0</v>
      </c>
      <c r="AW70" s="326">
        <f t="shared" si="6"/>
        <v>0</v>
      </c>
      <c r="AX70" s="288">
        <f t="shared" si="7"/>
        <v>0</v>
      </c>
      <c r="AY70" s="327">
        <f t="shared" si="8"/>
        <v>0</v>
      </c>
      <c r="AZ70" s="288">
        <f t="shared" si="4"/>
        <v>0</v>
      </c>
      <c r="BA70" s="288"/>
    </row>
    <row r="71" spans="45:53" s="246" customFormat="1" ht="15" x14ac:dyDescent="0.2">
      <c r="AS71" s="288" t="str">
        <f t="shared" si="9"/>
        <v/>
      </c>
      <c r="AT71" s="326">
        <f t="shared" si="5"/>
        <v>0</v>
      </c>
      <c r="AU71" s="326"/>
      <c r="AV71" s="326">
        <f t="shared" si="2"/>
        <v>0</v>
      </c>
      <c r="AW71" s="326">
        <f t="shared" si="6"/>
        <v>0</v>
      </c>
      <c r="AX71" s="288">
        <f t="shared" si="7"/>
        <v>0</v>
      </c>
      <c r="AY71" s="327">
        <f t="shared" si="8"/>
        <v>0</v>
      </c>
      <c r="AZ71" s="288">
        <f t="shared" si="4"/>
        <v>0</v>
      </c>
      <c r="BA71" s="288"/>
    </row>
    <row r="72" spans="45:53" s="246" customFormat="1" ht="15" x14ac:dyDescent="0.2">
      <c r="AS72" s="288" t="str">
        <f t="shared" si="9"/>
        <v/>
      </c>
      <c r="AT72" s="326">
        <f t="shared" si="5"/>
        <v>0</v>
      </c>
      <c r="AU72" s="326"/>
      <c r="AV72" s="326">
        <f t="shared" ref="AV72:AV114" si="10">$D$10*AT72</f>
        <v>0</v>
      </c>
      <c r="AW72" s="326">
        <f t="shared" si="6"/>
        <v>0</v>
      </c>
      <c r="AX72" s="288">
        <f t="shared" si="7"/>
        <v>0</v>
      </c>
      <c r="AY72" s="327">
        <f t="shared" si="8"/>
        <v>0</v>
      </c>
      <c r="AZ72" s="288">
        <f t="shared" ref="AZ72:AZ114" si="11">IF(ISNUMBER(AS72),AY72/(1+$D$7)^AS72,0)</f>
        <v>0</v>
      </c>
      <c r="BA72" s="288"/>
    </row>
    <row r="73" spans="45:53" s="246" customFormat="1" ht="15" x14ac:dyDescent="0.2">
      <c r="AS73" s="288" t="str">
        <f t="shared" si="9"/>
        <v/>
      </c>
      <c r="AT73" s="326">
        <f t="shared" ref="AT73:AT114" si="12">IF(ISNUMBER(AS73),AW72,0)</f>
        <v>0</v>
      </c>
      <c r="AU73" s="326"/>
      <c r="AV73" s="326">
        <f t="shared" si="10"/>
        <v>0</v>
      </c>
      <c r="AW73" s="326">
        <f t="shared" ref="AW73:AW114" si="13">AT73</f>
        <v>0</v>
      </c>
      <c r="AX73" s="288">
        <f t="shared" si="7"/>
        <v>0</v>
      </c>
      <c r="AY73" s="327">
        <f t="shared" si="8"/>
        <v>0</v>
      </c>
      <c r="AZ73" s="288">
        <f t="shared" si="11"/>
        <v>0</v>
      </c>
      <c r="BA73" s="288"/>
    </row>
    <row r="74" spans="45:53" s="246" customFormat="1" ht="15" x14ac:dyDescent="0.2">
      <c r="AS74" s="288" t="str">
        <f t="shared" si="9"/>
        <v/>
      </c>
      <c r="AT74" s="326">
        <f t="shared" si="12"/>
        <v>0</v>
      </c>
      <c r="AU74" s="326"/>
      <c r="AV74" s="326">
        <f t="shared" si="10"/>
        <v>0</v>
      </c>
      <c r="AW74" s="326">
        <f t="shared" si="13"/>
        <v>0</v>
      </c>
      <c r="AX74" s="288">
        <f t="shared" si="7"/>
        <v>0</v>
      </c>
      <c r="AY74" s="327">
        <f t="shared" si="8"/>
        <v>0</v>
      </c>
      <c r="AZ74" s="288">
        <f t="shared" si="11"/>
        <v>0</v>
      </c>
      <c r="BA74" s="288"/>
    </row>
    <row r="75" spans="45:53" s="246" customFormat="1" ht="15" x14ac:dyDescent="0.2">
      <c r="AS75" s="288" t="str">
        <f t="shared" si="9"/>
        <v/>
      </c>
      <c r="AT75" s="326">
        <f t="shared" si="12"/>
        <v>0</v>
      </c>
      <c r="AU75" s="326"/>
      <c r="AV75" s="326">
        <f t="shared" si="10"/>
        <v>0</v>
      </c>
      <c r="AW75" s="326">
        <f t="shared" si="13"/>
        <v>0</v>
      </c>
      <c r="AX75" s="288">
        <f t="shared" si="7"/>
        <v>0</v>
      </c>
      <c r="AY75" s="327">
        <f t="shared" si="8"/>
        <v>0</v>
      </c>
      <c r="AZ75" s="288">
        <f t="shared" si="11"/>
        <v>0</v>
      </c>
      <c r="BA75" s="288"/>
    </row>
    <row r="76" spans="45:53" s="246" customFormat="1" ht="15" x14ac:dyDescent="0.2">
      <c r="AS76" s="288" t="str">
        <f t="shared" si="9"/>
        <v/>
      </c>
      <c r="AT76" s="326">
        <f t="shared" si="12"/>
        <v>0</v>
      </c>
      <c r="AU76" s="326"/>
      <c r="AV76" s="326">
        <f t="shared" si="10"/>
        <v>0</v>
      </c>
      <c r="AW76" s="326">
        <f t="shared" si="13"/>
        <v>0</v>
      </c>
      <c r="AX76" s="288">
        <f t="shared" si="7"/>
        <v>0</v>
      </c>
      <c r="AY76" s="327">
        <f t="shared" si="8"/>
        <v>0</v>
      </c>
      <c r="AZ76" s="288">
        <f t="shared" si="11"/>
        <v>0</v>
      </c>
      <c r="BA76" s="288"/>
    </row>
    <row r="77" spans="45:53" s="246" customFormat="1" ht="15" x14ac:dyDescent="0.2">
      <c r="AS77" s="288" t="str">
        <f t="shared" si="9"/>
        <v/>
      </c>
      <c r="AT77" s="326">
        <f t="shared" si="12"/>
        <v>0</v>
      </c>
      <c r="AU77" s="326"/>
      <c r="AV77" s="326">
        <f t="shared" si="10"/>
        <v>0</v>
      </c>
      <c r="AW77" s="326">
        <f t="shared" si="13"/>
        <v>0</v>
      </c>
      <c r="AX77" s="288">
        <f t="shared" si="7"/>
        <v>0</v>
      </c>
      <c r="AY77" s="327">
        <f t="shared" si="8"/>
        <v>0</v>
      </c>
      <c r="AZ77" s="288">
        <f t="shared" si="11"/>
        <v>0</v>
      </c>
      <c r="BA77" s="288"/>
    </row>
    <row r="78" spans="45:53" s="246" customFormat="1" ht="15" x14ac:dyDescent="0.2">
      <c r="AS78" s="288" t="str">
        <f t="shared" si="9"/>
        <v/>
      </c>
      <c r="AT78" s="326">
        <f t="shared" si="12"/>
        <v>0</v>
      </c>
      <c r="AU78" s="326"/>
      <c r="AV78" s="326">
        <f t="shared" si="10"/>
        <v>0</v>
      </c>
      <c r="AW78" s="326">
        <f t="shared" si="13"/>
        <v>0</v>
      </c>
      <c r="AX78" s="288">
        <f t="shared" si="7"/>
        <v>0</v>
      </c>
      <c r="AY78" s="327">
        <f t="shared" si="8"/>
        <v>0</v>
      </c>
      <c r="AZ78" s="288">
        <f t="shared" si="11"/>
        <v>0</v>
      </c>
      <c r="BA78" s="288"/>
    </row>
    <row r="79" spans="45:53" s="246" customFormat="1" ht="15" x14ac:dyDescent="0.2">
      <c r="AS79" s="288" t="str">
        <f t="shared" si="9"/>
        <v/>
      </c>
      <c r="AT79" s="326">
        <f t="shared" si="12"/>
        <v>0</v>
      </c>
      <c r="AU79" s="326"/>
      <c r="AV79" s="326">
        <f t="shared" si="10"/>
        <v>0</v>
      </c>
      <c r="AW79" s="326">
        <f t="shared" si="13"/>
        <v>0</v>
      </c>
      <c r="AX79" s="288">
        <f t="shared" si="7"/>
        <v>0</v>
      </c>
      <c r="AY79" s="327">
        <f t="shared" si="8"/>
        <v>0</v>
      </c>
      <c r="AZ79" s="288">
        <f t="shared" si="11"/>
        <v>0</v>
      </c>
      <c r="BA79" s="288"/>
    </row>
    <row r="80" spans="45:53" s="246" customFormat="1" ht="15" x14ac:dyDescent="0.2">
      <c r="AS80" s="288" t="str">
        <f t="shared" si="9"/>
        <v/>
      </c>
      <c r="AT80" s="326">
        <f t="shared" si="12"/>
        <v>0</v>
      </c>
      <c r="AU80" s="326"/>
      <c r="AV80" s="326">
        <f t="shared" si="10"/>
        <v>0</v>
      </c>
      <c r="AW80" s="326">
        <f t="shared" si="13"/>
        <v>0</v>
      </c>
      <c r="AX80" s="288">
        <f t="shared" si="7"/>
        <v>0</v>
      </c>
      <c r="AY80" s="327">
        <f t="shared" si="8"/>
        <v>0</v>
      </c>
      <c r="AZ80" s="288">
        <f t="shared" si="11"/>
        <v>0</v>
      </c>
      <c r="BA80" s="288"/>
    </row>
    <row r="81" spans="45:53" s="246" customFormat="1" ht="15" x14ac:dyDescent="0.2">
      <c r="AS81" s="288" t="str">
        <f t="shared" si="9"/>
        <v/>
      </c>
      <c r="AT81" s="326">
        <f t="shared" si="12"/>
        <v>0</v>
      </c>
      <c r="AU81" s="326"/>
      <c r="AV81" s="326">
        <f t="shared" si="10"/>
        <v>0</v>
      </c>
      <c r="AW81" s="326">
        <f t="shared" si="13"/>
        <v>0</v>
      </c>
      <c r="AX81" s="288">
        <f t="shared" si="7"/>
        <v>0</v>
      </c>
      <c r="AY81" s="327">
        <f t="shared" si="8"/>
        <v>0</v>
      </c>
      <c r="AZ81" s="288">
        <f t="shared" si="11"/>
        <v>0</v>
      </c>
      <c r="BA81" s="288"/>
    </row>
    <row r="82" spans="45:53" s="246" customFormat="1" ht="15" x14ac:dyDescent="0.2">
      <c r="AS82" s="288" t="str">
        <f t="shared" si="9"/>
        <v/>
      </c>
      <c r="AT82" s="326">
        <f t="shared" si="12"/>
        <v>0</v>
      </c>
      <c r="AU82" s="326"/>
      <c r="AV82" s="326">
        <f t="shared" si="10"/>
        <v>0</v>
      </c>
      <c r="AW82" s="326">
        <f t="shared" si="13"/>
        <v>0</v>
      </c>
      <c r="AX82" s="288">
        <f t="shared" ref="AX82:AX114" si="14">IF(ISNUMBER(AS83),SUM(AU82:AV82),SUM(AU82:AW82))</f>
        <v>0</v>
      </c>
      <c r="AY82" s="327">
        <f t="shared" si="8"/>
        <v>0</v>
      </c>
      <c r="AZ82" s="288">
        <f t="shared" si="11"/>
        <v>0</v>
      </c>
      <c r="BA82" s="288"/>
    </row>
    <row r="83" spans="45:53" s="246" customFormat="1" ht="15" x14ac:dyDescent="0.2">
      <c r="AS83" s="288" t="str">
        <f t="shared" si="9"/>
        <v/>
      </c>
      <c r="AT83" s="326">
        <f t="shared" si="12"/>
        <v>0</v>
      </c>
      <c r="AU83" s="326"/>
      <c r="AV83" s="326">
        <f t="shared" si="10"/>
        <v>0</v>
      </c>
      <c r="AW83" s="326">
        <f t="shared" si="13"/>
        <v>0</v>
      </c>
      <c r="AX83" s="288">
        <f t="shared" si="14"/>
        <v>0</v>
      </c>
      <c r="AY83" s="327">
        <f t="shared" si="8"/>
        <v>0</v>
      </c>
      <c r="AZ83" s="288">
        <f t="shared" si="11"/>
        <v>0</v>
      </c>
      <c r="BA83" s="288"/>
    </row>
    <row r="84" spans="45:53" s="246" customFormat="1" ht="15" x14ac:dyDescent="0.2">
      <c r="AS84" s="288" t="str">
        <f t="shared" si="9"/>
        <v/>
      </c>
      <c r="AT84" s="326">
        <f t="shared" si="12"/>
        <v>0</v>
      </c>
      <c r="AU84" s="326"/>
      <c r="AV84" s="326">
        <f t="shared" si="10"/>
        <v>0</v>
      </c>
      <c r="AW84" s="326">
        <f t="shared" si="13"/>
        <v>0</v>
      </c>
      <c r="AX84" s="288">
        <f t="shared" si="14"/>
        <v>0</v>
      </c>
      <c r="AY84" s="327">
        <f t="shared" si="8"/>
        <v>0</v>
      </c>
      <c r="AZ84" s="288">
        <f t="shared" si="11"/>
        <v>0</v>
      </c>
      <c r="BA84" s="288"/>
    </row>
    <row r="85" spans="45:53" s="246" customFormat="1" ht="15" x14ac:dyDescent="0.2">
      <c r="AS85" s="288" t="str">
        <f t="shared" si="9"/>
        <v/>
      </c>
      <c r="AT85" s="326">
        <f t="shared" si="12"/>
        <v>0</v>
      </c>
      <c r="AU85" s="326"/>
      <c r="AV85" s="326">
        <f t="shared" si="10"/>
        <v>0</v>
      </c>
      <c r="AW85" s="326">
        <f t="shared" si="13"/>
        <v>0</v>
      </c>
      <c r="AX85" s="288">
        <f t="shared" si="14"/>
        <v>0</v>
      </c>
      <c r="AY85" s="327">
        <f t="shared" si="8"/>
        <v>0</v>
      </c>
      <c r="AZ85" s="288">
        <f t="shared" si="11"/>
        <v>0</v>
      </c>
      <c r="BA85" s="288"/>
    </row>
    <row r="86" spans="45:53" s="246" customFormat="1" ht="15" x14ac:dyDescent="0.2">
      <c r="AS86" s="288" t="str">
        <f t="shared" si="9"/>
        <v/>
      </c>
      <c r="AT86" s="326">
        <f t="shared" si="12"/>
        <v>0</v>
      </c>
      <c r="AU86" s="326"/>
      <c r="AV86" s="326">
        <f t="shared" si="10"/>
        <v>0</v>
      </c>
      <c r="AW86" s="326">
        <f t="shared" si="13"/>
        <v>0</v>
      </c>
      <c r="AX86" s="288">
        <f t="shared" si="14"/>
        <v>0</v>
      </c>
      <c r="AY86" s="327">
        <f t="shared" si="8"/>
        <v>0</v>
      </c>
      <c r="AZ86" s="288">
        <f t="shared" si="11"/>
        <v>0</v>
      </c>
      <c r="BA86" s="288"/>
    </row>
    <row r="87" spans="45:53" s="246" customFormat="1" ht="15" x14ac:dyDescent="0.2">
      <c r="AS87" s="288" t="str">
        <f t="shared" si="9"/>
        <v/>
      </c>
      <c r="AT87" s="326">
        <f t="shared" si="12"/>
        <v>0</v>
      </c>
      <c r="AU87" s="326"/>
      <c r="AV87" s="326">
        <f t="shared" si="10"/>
        <v>0</v>
      </c>
      <c r="AW87" s="326">
        <f t="shared" si="13"/>
        <v>0</v>
      </c>
      <c r="AX87" s="288">
        <f t="shared" si="14"/>
        <v>0</v>
      </c>
      <c r="AY87" s="327">
        <f t="shared" si="8"/>
        <v>0</v>
      </c>
      <c r="AZ87" s="288">
        <f t="shared" si="11"/>
        <v>0</v>
      </c>
      <c r="BA87" s="288"/>
    </row>
    <row r="88" spans="45:53" s="246" customFormat="1" ht="15" x14ac:dyDescent="0.2">
      <c r="AS88" s="288" t="str">
        <f t="shared" si="9"/>
        <v/>
      </c>
      <c r="AT88" s="326">
        <f t="shared" si="12"/>
        <v>0</v>
      </c>
      <c r="AU88" s="326"/>
      <c r="AV88" s="326">
        <f t="shared" si="10"/>
        <v>0</v>
      </c>
      <c r="AW88" s="326">
        <f t="shared" si="13"/>
        <v>0</v>
      </c>
      <c r="AX88" s="288">
        <f t="shared" si="14"/>
        <v>0</v>
      </c>
      <c r="AY88" s="327">
        <f t="shared" si="8"/>
        <v>0</v>
      </c>
      <c r="AZ88" s="288">
        <f t="shared" si="11"/>
        <v>0</v>
      </c>
      <c r="BA88" s="288"/>
    </row>
    <row r="89" spans="45:53" s="246" customFormat="1" ht="15" x14ac:dyDescent="0.2">
      <c r="AS89" s="288" t="str">
        <f t="shared" si="9"/>
        <v/>
      </c>
      <c r="AT89" s="326">
        <f t="shared" si="12"/>
        <v>0</v>
      </c>
      <c r="AU89" s="326"/>
      <c r="AV89" s="326">
        <f t="shared" si="10"/>
        <v>0</v>
      </c>
      <c r="AW89" s="326">
        <f t="shared" si="13"/>
        <v>0</v>
      </c>
      <c r="AX89" s="288">
        <f t="shared" si="14"/>
        <v>0</v>
      </c>
      <c r="AY89" s="327">
        <f t="shared" si="8"/>
        <v>0</v>
      </c>
      <c r="AZ89" s="288">
        <f t="shared" si="11"/>
        <v>0</v>
      </c>
      <c r="BA89" s="288"/>
    </row>
    <row r="90" spans="45:53" s="246" customFormat="1" ht="15" x14ac:dyDescent="0.2">
      <c r="AS90" s="288" t="str">
        <f t="shared" si="9"/>
        <v/>
      </c>
      <c r="AT90" s="326">
        <f t="shared" si="12"/>
        <v>0</v>
      </c>
      <c r="AU90" s="326"/>
      <c r="AV90" s="326">
        <f t="shared" si="10"/>
        <v>0</v>
      </c>
      <c r="AW90" s="326">
        <f t="shared" si="13"/>
        <v>0</v>
      </c>
      <c r="AX90" s="288">
        <f t="shared" si="14"/>
        <v>0</v>
      </c>
      <c r="AY90" s="327">
        <f t="shared" si="8"/>
        <v>0</v>
      </c>
      <c r="AZ90" s="288">
        <f t="shared" si="11"/>
        <v>0</v>
      </c>
      <c r="BA90" s="288"/>
    </row>
    <row r="91" spans="45:53" s="246" customFormat="1" ht="15" x14ac:dyDescent="0.2">
      <c r="AS91" s="288" t="str">
        <f t="shared" si="9"/>
        <v/>
      </c>
      <c r="AT91" s="326">
        <f t="shared" si="12"/>
        <v>0</v>
      </c>
      <c r="AU91" s="326"/>
      <c r="AV91" s="326">
        <f t="shared" si="10"/>
        <v>0</v>
      </c>
      <c r="AW91" s="326">
        <f t="shared" si="13"/>
        <v>0</v>
      </c>
      <c r="AX91" s="288">
        <f t="shared" si="14"/>
        <v>0</v>
      </c>
      <c r="AY91" s="327">
        <f t="shared" si="8"/>
        <v>0</v>
      </c>
      <c r="AZ91" s="288">
        <f t="shared" si="11"/>
        <v>0</v>
      </c>
      <c r="BA91" s="288"/>
    </row>
    <row r="92" spans="45:53" s="246" customFormat="1" ht="15" x14ac:dyDescent="0.2">
      <c r="AS92" s="288" t="str">
        <f t="shared" si="9"/>
        <v/>
      </c>
      <c r="AT92" s="326">
        <f t="shared" si="12"/>
        <v>0</v>
      </c>
      <c r="AU92" s="326"/>
      <c r="AV92" s="326">
        <f t="shared" si="10"/>
        <v>0</v>
      </c>
      <c r="AW92" s="326">
        <f t="shared" si="13"/>
        <v>0</v>
      </c>
      <c r="AX92" s="288">
        <f t="shared" si="14"/>
        <v>0</v>
      </c>
      <c r="AY92" s="327">
        <f t="shared" si="8"/>
        <v>0</v>
      </c>
      <c r="AZ92" s="288">
        <f t="shared" si="11"/>
        <v>0</v>
      </c>
      <c r="BA92" s="288"/>
    </row>
    <row r="93" spans="45:53" s="246" customFormat="1" ht="15" x14ac:dyDescent="0.2">
      <c r="AS93" s="288" t="str">
        <f t="shared" si="9"/>
        <v/>
      </c>
      <c r="AT93" s="326">
        <f t="shared" si="12"/>
        <v>0</v>
      </c>
      <c r="AU93" s="326"/>
      <c r="AV93" s="326">
        <f t="shared" si="10"/>
        <v>0</v>
      </c>
      <c r="AW93" s="326">
        <f t="shared" si="13"/>
        <v>0</v>
      </c>
      <c r="AX93" s="288">
        <f t="shared" si="14"/>
        <v>0</v>
      </c>
      <c r="AY93" s="327">
        <f t="shared" si="8"/>
        <v>0</v>
      </c>
      <c r="AZ93" s="288">
        <f t="shared" si="11"/>
        <v>0</v>
      </c>
      <c r="BA93" s="288"/>
    </row>
    <row r="94" spans="45:53" s="246" customFormat="1" ht="15" x14ac:dyDescent="0.2">
      <c r="AS94" s="288" t="str">
        <f t="shared" si="9"/>
        <v/>
      </c>
      <c r="AT94" s="326">
        <f t="shared" si="12"/>
        <v>0</v>
      </c>
      <c r="AU94" s="326"/>
      <c r="AV94" s="326">
        <f t="shared" si="10"/>
        <v>0</v>
      </c>
      <c r="AW94" s="326">
        <f t="shared" si="13"/>
        <v>0</v>
      </c>
      <c r="AX94" s="288">
        <f t="shared" si="14"/>
        <v>0</v>
      </c>
      <c r="AY94" s="327">
        <f t="shared" si="8"/>
        <v>0</v>
      </c>
      <c r="AZ94" s="288">
        <f t="shared" si="11"/>
        <v>0</v>
      </c>
      <c r="BA94" s="288"/>
    </row>
    <row r="95" spans="45:53" s="246" customFormat="1" ht="15" x14ac:dyDescent="0.2">
      <c r="AS95" s="288" t="str">
        <f t="shared" si="9"/>
        <v/>
      </c>
      <c r="AT95" s="326">
        <f t="shared" si="12"/>
        <v>0</v>
      </c>
      <c r="AU95" s="326"/>
      <c r="AV95" s="326">
        <f t="shared" si="10"/>
        <v>0</v>
      </c>
      <c r="AW95" s="326">
        <f t="shared" si="13"/>
        <v>0</v>
      </c>
      <c r="AX95" s="288">
        <f t="shared" si="14"/>
        <v>0</v>
      </c>
      <c r="AY95" s="327">
        <f t="shared" si="8"/>
        <v>0</v>
      </c>
      <c r="AZ95" s="288">
        <f t="shared" si="11"/>
        <v>0</v>
      </c>
      <c r="BA95" s="288"/>
    </row>
    <row r="96" spans="45:53" s="246" customFormat="1" ht="15" x14ac:dyDescent="0.2">
      <c r="AS96" s="288" t="str">
        <f t="shared" si="9"/>
        <v/>
      </c>
      <c r="AT96" s="326">
        <f t="shared" si="12"/>
        <v>0</v>
      </c>
      <c r="AU96" s="326"/>
      <c r="AV96" s="326">
        <f t="shared" si="10"/>
        <v>0</v>
      </c>
      <c r="AW96" s="326">
        <f t="shared" si="13"/>
        <v>0</v>
      </c>
      <c r="AX96" s="288">
        <f t="shared" si="14"/>
        <v>0</v>
      </c>
      <c r="AY96" s="327">
        <f t="shared" si="8"/>
        <v>0</v>
      </c>
      <c r="AZ96" s="288">
        <f t="shared" si="11"/>
        <v>0</v>
      </c>
      <c r="BA96" s="288"/>
    </row>
    <row r="97" spans="45:53" s="246" customFormat="1" ht="15" x14ac:dyDescent="0.2">
      <c r="AS97" s="288" t="str">
        <f t="shared" si="9"/>
        <v/>
      </c>
      <c r="AT97" s="326">
        <f t="shared" si="12"/>
        <v>0</v>
      </c>
      <c r="AU97" s="326"/>
      <c r="AV97" s="326">
        <f t="shared" si="10"/>
        <v>0</v>
      </c>
      <c r="AW97" s="326">
        <f t="shared" si="13"/>
        <v>0</v>
      </c>
      <c r="AX97" s="288">
        <f t="shared" si="14"/>
        <v>0</v>
      </c>
      <c r="AY97" s="327">
        <f t="shared" si="8"/>
        <v>0</v>
      </c>
      <c r="AZ97" s="288">
        <f t="shared" si="11"/>
        <v>0</v>
      </c>
      <c r="BA97" s="288"/>
    </row>
    <row r="98" spans="45:53" s="246" customFormat="1" ht="15" x14ac:dyDescent="0.2">
      <c r="AS98" s="288" t="str">
        <f t="shared" si="9"/>
        <v/>
      </c>
      <c r="AT98" s="326">
        <f t="shared" si="12"/>
        <v>0</v>
      </c>
      <c r="AU98" s="326"/>
      <c r="AV98" s="326">
        <f t="shared" si="10"/>
        <v>0</v>
      </c>
      <c r="AW98" s="326">
        <f t="shared" si="13"/>
        <v>0</v>
      </c>
      <c r="AX98" s="288">
        <f t="shared" si="14"/>
        <v>0</v>
      </c>
      <c r="AY98" s="327">
        <f t="shared" si="8"/>
        <v>0</v>
      </c>
      <c r="AZ98" s="288">
        <f t="shared" si="11"/>
        <v>0</v>
      </c>
      <c r="BA98" s="288"/>
    </row>
    <row r="99" spans="45:53" s="246" customFormat="1" ht="15" x14ac:dyDescent="0.2">
      <c r="AS99" s="288" t="str">
        <f t="shared" si="9"/>
        <v/>
      </c>
      <c r="AT99" s="326">
        <f t="shared" si="12"/>
        <v>0</v>
      </c>
      <c r="AU99" s="326"/>
      <c r="AV99" s="326">
        <f t="shared" si="10"/>
        <v>0</v>
      </c>
      <c r="AW99" s="326">
        <f t="shared" si="13"/>
        <v>0</v>
      </c>
      <c r="AX99" s="288">
        <f t="shared" si="14"/>
        <v>0</v>
      </c>
      <c r="AY99" s="327">
        <f t="shared" si="8"/>
        <v>0</v>
      </c>
      <c r="AZ99" s="288">
        <f t="shared" si="11"/>
        <v>0</v>
      </c>
      <c r="BA99" s="288"/>
    </row>
    <row r="100" spans="45:53" s="246" customFormat="1" ht="15" x14ac:dyDescent="0.2">
      <c r="AS100" s="288" t="str">
        <f t="shared" si="9"/>
        <v/>
      </c>
      <c r="AT100" s="326">
        <f t="shared" si="12"/>
        <v>0</v>
      </c>
      <c r="AU100" s="326"/>
      <c r="AV100" s="326">
        <f t="shared" si="10"/>
        <v>0</v>
      </c>
      <c r="AW100" s="326">
        <f t="shared" si="13"/>
        <v>0</v>
      </c>
      <c r="AX100" s="288">
        <f t="shared" si="14"/>
        <v>0</v>
      </c>
      <c r="AY100" s="327">
        <f t="shared" si="8"/>
        <v>0</v>
      </c>
      <c r="AZ100" s="288">
        <f t="shared" si="11"/>
        <v>0</v>
      </c>
      <c r="BA100" s="288"/>
    </row>
    <row r="101" spans="45:53" s="246" customFormat="1" ht="15" x14ac:dyDescent="0.2">
      <c r="AS101" s="288" t="str">
        <f t="shared" si="9"/>
        <v/>
      </c>
      <c r="AT101" s="326">
        <f t="shared" si="12"/>
        <v>0</v>
      </c>
      <c r="AU101" s="326"/>
      <c r="AV101" s="326">
        <f t="shared" si="10"/>
        <v>0</v>
      </c>
      <c r="AW101" s="326">
        <f t="shared" si="13"/>
        <v>0</v>
      </c>
      <c r="AX101" s="288">
        <f t="shared" si="14"/>
        <v>0</v>
      </c>
      <c r="AY101" s="327">
        <f t="shared" si="8"/>
        <v>0</v>
      </c>
      <c r="AZ101" s="288">
        <f t="shared" si="11"/>
        <v>0</v>
      </c>
      <c r="BA101" s="288"/>
    </row>
    <row r="102" spans="45:53" s="246" customFormat="1" ht="15" x14ac:dyDescent="0.2">
      <c r="AS102" s="288" t="str">
        <f t="shared" si="9"/>
        <v/>
      </c>
      <c r="AT102" s="326">
        <f t="shared" si="12"/>
        <v>0</v>
      </c>
      <c r="AU102" s="326"/>
      <c r="AV102" s="326">
        <f t="shared" si="10"/>
        <v>0</v>
      </c>
      <c r="AW102" s="326">
        <f t="shared" si="13"/>
        <v>0</v>
      </c>
      <c r="AX102" s="288">
        <f t="shared" si="14"/>
        <v>0</v>
      </c>
      <c r="AY102" s="327">
        <f t="shared" si="8"/>
        <v>0</v>
      </c>
      <c r="AZ102" s="288">
        <f t="shared" si="11"/>
        <v>0</v>
      </c>
      <c r="BA102" s="288"/>
    </row>
    <row r="103" spans="45:53" s="246" customFormat="1" ht="15" x14ac:dyDescent="0.2">
      <c r="AS103" s="288" t="str">
        <f t="shared" si="9"/>
        <v/>
      </c>
      <c r="AT103" s="326">
        <f t="shared" si="12"/>
        <v>0</v>
      </c>
      <c r="AU103" s="326"/>
      <c r="AV103" s="326">
        <f t="shared" si="10"/>
        <v>0</v>
      </c>
      <c r="AW103" s="326">
        <f t="shared" si="13"/>
        <v>0</v>
      </c>
      <c r="AX103" s="288">
        <f t="shared" si="14"/>
        <v>0</v>
      </c>
      <c r="AY103" s="327">
        <f t="shared" ref="AY103:AY114" si="15">LN(AX103+$J$37)-LN($J$37)</f>
        <v>0</v>
      </c>
      <c r="AZ103" s="288">
        <f t="shared" si="11"/>
        <v>0</v>
      </c>
      <c r="BA103" s="288"/>
    </row>
    <row r="104" spans="45:53" s="246" customFormat="1" ht="15" x14ac:dyDescent="0.2">
      <c r="AS104" s="288" t="str">
        <f t="shared" si="9"/>
        <v/>
      </c>
      <c r="AT104" s="326">
        <f t="shared" si="12"/>
        <v>0</v>
      </c>
      <c r="AU104" s="326"/>
      <c r="AV104" s="326">
        <f t="shared" si="10"/>
        <v>0</v>
      </c>
      <c r="AW104" s="326">
        <f t="shared" si="13"/>
        <v>0</v>
      </c>
      <c r="AX104" s="288">
        <f t="shared" si="14"/>
        <v>0</v>
      </c>
      <c r="AY104" s="327">
        <f t="shared" si="15"/>
        <v>0</v>
      </c>
      <c r="AZ104" s="288">
        <f t="shared" si="11"/>
        <v>0</v>
      </c>
      <c r="BA104" s="288"/>
    </row>
    <row r="105" spans="45:53" s="246" customFormat="1" ht="15" x14ac:dyDescent="0.2">
      <c r="AS105" s="288" t="str">
        <f t="shared" si="9"/>
        <v/>
      </c>
      <c r="AT105" s="326">
        <f t="shared" si="12"/>
        <v>0</v>
      </c>
      <c r="AU105" s="326"/>
      <c r="AV105" s="326">
        <f t="shared" si="10"/>
        <v>0</v>
      </c>
      <c r="AW105" s="326">
        <f t="shared" si="13"/>
        <v>0</v>
      </c>
      <c r="AX105" s="288">
        <f t="shared" si="14"/>
        <v>0</v>
      </c>
      <c r="AY105" s="327">
        <f t="shared" si="15"/>
        <v>0</v>
      </c>
      <c r="AZ105" s="288">
        <f t="shared" si="11"/>
        <v>0</v>
      </c>
      <c r="BA105" s="288"/>
    </row>
    <row r="106" spans="45:53" s="246" customFormat="1" ht="15" x14ac:dyDescent="0.2">
      <c r="AS106" s="288" t="str">
        <f t="shared" si="9"/>
        <v/>
      </c>
      <c r="AT106" s="326">
        <f t="shared" si="12"/>
        <v>0</v>
      </c>
      <c r="AU106" s="326"/>
      <c r="AV106" s="326">
        <f t="shared" si="10"/>
        <v>0</v>
      </c>
      <c r="AW106" s="326">
        <f t="shared" si="13"/>
        <v>0</v>
      </c>
      <c r="AX106" s="288">
        <f t="shared" si="14"/>
        <v>0</v>
      </c>
      <c r="AY106" s="327">
        <f t="shared" si="15"/>
        <v>0</v>
      </c>
      <c r="AZ106" s="288">
        <f t="shared" si="11"/>
        <v>0</v>
      </c>
      <c r="BA106" s="288"/>
    </row>
    <row r="107" spans="45:53" s="246" customFormat="1" ht="15" x14ac:dyDescent="0.2">
      <c r="AS107" s="288" t="str">
        <f t="shared" si="9"/>
        <v/>
      </c>
      <c r="AT107" s="326">
        <f t="shared" si="12"/>
        <v>0</v>
      </c>
      <c r="AU107" s="326"/>
      <c r="AV107" s="326">
        <f t="shared" si="10"/>
        <v>0</v>
      </c>
      <c r="AW107" s="326">
        <f t="shared" si="13"/>
        <v>0</v>
      </c>
      <c r="AX107" s="288">
        <f t="shared" si="14"/>
        <v>0</v>
      </c>
      <c r="AY107" s="327">
        <f t="shared" si="15"/>
        <v>0</v>
      </c>
      <c r="AZ107" s="288">
        <f t="shared" si="11"/>
        <v>0</v>
      </c>
      <c r="BA107" s="288"/>
    </row>
    <row r="108" spans="45:53" s="246" customFormat="1" ht="15" x14ac:dyDescent="0.2">
      <c r="AS108" s="288" t="str">
        <f t="shared" si="9"/>
        <v/>
      </c>
      <c r="AT108" s="326">
        <f t="shared" si="12"/>
        <v>0</v>
      </c>
      <c r="AU108" s="326"/>
      <c r="AV108" s="326">
        <f t="shared" si="10"/>
        <v>0</v>
      </c>
      <c r="AW108" s="326">
        <f t="shared" si="13"/>
        <v>0</v>
      </c>
      <c r="AX108" s="288">
        <f t="shared" si="14"/>
        <v>0</v>
      </c>
      <c r="AY108" s="327">
        <f t="shared" si="15"/>
        <v>0</v>
      </c>
      <c r="AZ108" s="288">
        <f t="shared" si="11"/>
        <v>0</v>
      </c>
      <c r="BA108" s="288"/>
    </row>
    <row r="109" spans="45:53" s="246" customFormat="1" ht="15" x14ac:dyDescent="0.2">
      <c r="AS109" s="288" t="str">
        <f t="shared" si="9"/>
        <v/>
      </c>
      <c r="AT109" s="326">
        <f t="shared" si="12"/>
        <v>0</v>
      </c>
      <c r="AU109" s="326"/>
      <c r="AV109" s="326">
        <f t="shared" si="10"/>
        <v>0</v>
      </c>
      <c r="AW109" s="326">
        <f t="shared" si="13"/>
        <v>0</v>
      </c>
      <c r="AX109" s="288">
        <f t="shared" si="14"/>
        <v>0</v>
      </c>
      <c r="AY109" s="327">
        <f t="shared" si="15"/>
        <v>0</v>
      </c>
      <c r="AZ109" s="288">
        <f t="shared" si="11"/>
        <v>0</v>
      </c>
      <c r="BA109" s="288"/>
    </row>
    <row r="110" spans="45:53" s="246" customFormat="1" ht="15" x14ac:dyDescent="0.2">
      <c r="AS110" s="288" t="str">
        <f t="shared" si="9"/>
        <v/>
      </c>
      <c r="AT110" s="326">
        <f t="shared" si="12"/>
        <v>0</v>
      </c>
      <c r="AU110" s="326"/>
      <c r="AV110" s="326">
        <f t="shared" si="10"/>
        <v>0</v>
      </c>
      <c r="AW110" s="326">
        <f t="shared" si="13"/>
        <v>0</v>
      </c>
      <c r="AX110" s="288">
        <f t="shared" si="14"/>
        <v>0</v>
      </c>
      <c r="AY110" s="327">
        <f t="shared" si="15"/>
        <v>0</v>
      </c>
      <c r="AZ110" s="288">
        <f t="shared" si="11"/>
        <v>0</v>
      </c>
      <c r="BA110" s="288"/>
    </row>
    <row r="111" spans="45:53" s="246" customFormat="1" ht="15" x14ac:dyDescent="0.2">
      <c r="AS111" s="288" t="str">
        <f t="shared" si="9"/>
        <v/>
      </c>
      <c r="AT111" s="326">
        <f t="shared" si="12"/>
        <v>0</v>
      </c>
      <c r="AU111" s="326"/>
      <c r="AV111" s="326">
        <f t="shared" si="10"/>
        <v>0</v>
      </c>
      <c r="AW111" s="326">
        <f t="shared" si="13"/>
        <v>0</v>
      </c>
      <c r="AX111" s="288">
        <f t="shared" si="14"/>
        <v>0</v>
      </c>
      <c r="AY111" s="327">
        <f t="shared" si="15"/>
        <v>0</v>
      </c>
      <c r="AZ111" s="288">
        <f t="shared" si="11"/>
        <v>0</v>
      </c>
      <c r="BA111" s="288"/>
    </row>
    <row r="112" spans="45:53" s="246" customFormat="1" ht="15" x14ac:dyDescent="0.2">
      <c r="AS112" s="288" t="str">
        <f t="shared" si="9"/>
        <v/>
      </c>
      <c r="AT112" s="326">
        <f t="shared" si="12"/>
        <v>0</v>
      </c>
      <c r="AU112" s="326"/>
      <c r="AV112" s="326">
        <f t="shared" si="10"/>
        <v>0</v>
      </c>
      <c r="AW112" s="326">
        <f t="shared" si="13"/>
        <v>0</v>
      </c>
      <c r="AX112" s="288">
        <f t="shared" si="14"/>
        <v>0</v>
      </c>
      <c r="AY112" s="327">
        <f t="shared" si="15"/>
        <v>0</v>
      </c>
      <c r="AZ112" s="288">
        <f t="shared" si="11"/>
        <v>0</v>
      </c>
      <c r="BA112" s="288"/>
    </row>
    <row r="113" spans="45:53" s="246" customFormat="1" ht="15" x14ac:dyDescent="0.2">
      <c r="AS113" s="288" t="str">
        <f t="shared" si="9"/>
        <v/>
      </c>
      <c r="AT113" s="326">
        <f t="shared" si="12"/>
        <v>0</v>
      </c>
      <c r="AU113" s="326"/>
      <c r="AV113" s="326">
        <f t="shared" si="10"/>
        <v>0</v>
      </c>
      <c r="AW113" s="326">
        <f t="shared" si="13"/>
        <v>0</v>
      </c>
      <c r="AX113" s="288">
        <f t="shared" si="14"/>
        <v>0</v>
      </c>
      <c r="AY113" s="327">
        <f t="shared" si="15"/>
        <v>0</v>
      </c>
      <c r="AZ113" s="288">
        <f t="shared" si="11"/>
        <v>0</v>
      </c>
      <c r="BA113" s="288"/>
    </row>
    <row r="114" spans="45:53" s="246" customFormat="1" ht="15" x14ac:dyDescent="0.2">
      <c r="AS114" s="288" t="str">
        <f t="shared" si="9"/>
        <v/>
      </c>
      <c r="AT114" s="326">
        <f t="shared" si="12"/>
        <v>0</v>
      </c>
      <c r="AU114" s="326"/>
      <c r="AV114" s="326">
        <f t="shared" si="10"/>
        <v>0</v>
      </c>
      <c r="AW114" s="326">
        <f t="shared" si="13"/>
        <v>0</v>
      </c>
      <c r="AX114" s="288">
        <f t="shared" si="14"/>
        <v>0</v>
      </c>
      <c r="AY114" s="327">
        <f t="shared" si="15"/>
        <v>0</v>
      </c>
      <c r="AZ114" s="288">
        <f t="shared" si="11"/>
        <v>0</v>
      </c>
      <c r="BA114" s="288"/>
    </row>
    <row r="115" spans="45:53" s="246" customFormat="1" ht="15" x14ac:dyDescent="0.2">
      <c r="BA115" s="288"/>
    </row>
    <row r="116" spans="45:53" s="246" customFormat="1" ht="15" x14ac:dyDescent="0.2">
      <c r="BA116" s="288"/>
    </row>
    <row r="117" spans="45:53" s="246" customFormat="1" ht="15" x14ac:dyDescent="0.2">
      <c r="BA117" s="288"/>
    </row>
    <row r="118" spans="45:53" s="246" customFormat="1" ht="15" x14ac:dyDescent="0.2">
      <c r="BA118" s="288"/>
    </row>
    <row r="119" spans="45:53" ht="15" x14ac:dyDescent="0.2">
      <c r="BA119" s="232"/>
    </row>
  </sheetData>
  <mergeCells count="68">
    <mergeCell ref="J37:N37"/>
    <mergeCell ref="O37:P37"/>
    <mergeCell ref="D38:G38"/>
    <mergeCell ref="R38:T38"/>
    <mergeCell ref="B23:E26"/>
    <mergeCell ref="F31:F34"/>
    <mergeCell ref="R33:V33"/>
    <mergeCell ref="B36:B38"/>
    <mergeCell ref="D36:F36"/>
    <mergeCell ref="H36:I36"/>
    <mergeCell ref="J36:N36"/>
    <mergeCell ref="O36:P36"/>
    <mergeCell ref="D37:F37"/>
    <mergeCell ref="H37:I37"/>
    <mergeCell ref="L17:M17"/>
    <mergeCell ref="T17:U17"/>
    <mergeCell ref="T18:U18"/>
    <mergeCell ref="T19:U19"/>
    <mergeCell ref="F21:F24"/>
    <mergeCell ref="Q21:Q25"/>
    <mergeCell ref="R21:S22"/>
    <mergeCell ref="U21:W22"/>
    <mergeCell ref="Q13:Q14"/>
    <mergeCell ref="T13:U13"/>
    <mergeCell ref="V13:W13"/>
    <mergeCell ref="B14:B18"/>
    <mergeCell ref="C14:C15"/>
    <mergeCell ref="D14:D15"/>
    <mergeCell ref="F14:F15"/>
    <mergeCell ref="G14:G15"/>
    <mergeCell ref="T14:U14"/>
    <mergeCell ref="V14:W14"/>
    <mergeCell ref="T15:U15"/>
    <mergeCell ref="C16:C17"/>
    <mergeCell ref="D16:D17"/>
    <mergeCell ref="F16:F17"/>
    <mergeCell ref="G16:G17"/>
    <mergeCell ref="T16:U16"/>
    <mergeCell ref="V10:W10"/>
    <mergeCell ref="Z10:AA10"/>
    <mergeCell ref="T11:U11"/>
    <mergeCell ref="V11:W11"/>
    <mergeCell ref="T12:U12"/>
    <mergeCell ref="V12:W12"/>
    <mergeCell ref="AE6:AE7"/>
    <mergeCell ref="B7:B11"/>
    <mergeCell ref="Q8:Q11"/>
    <mergeCell ref="T8:U8"/>
    <mergeCell ref="V8:W8"/>
    <mergeCell ref="C9:D9"/>
    <mergeCell ref="T9:U9"/>
    <mergeCell ref="V9:W9"/>
    <mergeCell ref="Z9:AA9"/>
    <mergeCell ref="T10:U10"/>
    <mergeCell ref="C6:D6"/>
    <mergeCell ref="I6:J6"/>
    <mergeCell ref="L6:M6"/>
    <mergeCell ref="T6:U6"/>
    <mergeCell ref="V6:W6"/>
    <mergeCell ref="AD6:AD7"/>
    <mergeCell ref="S2:T3"/>
    <mergeCell ref="Z2:AB3"/>
    <mergeCell ref="B4:D5"/>
    <mergeCell ref="F4:G5"/>
    <mergeCell ref="T4:U4"/>
    <mergeCell ref="V4:W4"/>
    <mergeCell ref="T5:U5"/>
    <mergeCell ref="V5:W5"/>
  </mergeCells>
  <phoneticPr fontId="49" type="noConversion"/>
  <dataValidations count="3">
    <dataValidation type="list" allowBlank="1" showInputMessage="1" sqref="K9">
      <formula1>$C$30:$G$30</formula1>
    </dataValidation>
    <dataValidation type="list" allowBlank="1" showInputMessage="1" sqref="K14">
      <formula1>$C$21:$G$21</formula1>
    </dataValidation>
    <dataValidation type="list" allowBlank="1" showInputMessage="1" sqref="K15">
      <formula1>$C$28:$G$28</formula1>
    </dataValidation>
  </dataValidations>
  <hyperlinks>
    <hyperlink ref="H38" r:id="rId1" location="Grantstructure"/>
  </hyperlinks>
  <pageMargins left="0.7" right="0.7" top="0.75" bottom="0.75" header="0.3" footer="0.3"/>
  <legacyDrawing r:id="rId2"/>
  <extLst>
    <ext xmlns:x14="http://schemas.microsoft.com/office/spreadsheetml/2009/9/main" uri="{CCE6A557-97BC-4b89-ADB6-D9C93CAAB3DF}">
      <x14:dataValidations xmlns:xm="http://schemas.microsoft.com/office/excel/2006/main" count="36">
        <x14:dataValidation type="list" allowBlank="1" showInputMessage="1">
          <x14:formula1>
            <xm:f>Parameters!$D$5:$H$5</xm:f>
          </x14:formula1>
          <xm:sqref>G7</xm:sqref>
        </x14:dataValidation>
        <x14:dataValidation type="list" allowBlank="1" showInputMessage="1">
          <x14:formula1>
            <xm:f>Parameters!$D$9:$H$9</xm:f>
          </x14:formula1>
          <xm:sqref>G10</xm:sqref>
        </x14:dataValidation>
        <x14:dataValidation type="list" allowBlank="1" showInputMessage="1">
          <x14:formula1>
            <xm:f>Parameters!$D$8:$H$8</xm:f>
          </x14:formula1>
          <xm:sqref>G8</xm:sqref>
        </x14:dataValidation>
        <x14:dataValidation type="list" allowBlank="1" showInputMessage="1">
          <x14:formula1>
            <xm:f>Parameters!$D$32:$H$32</xm:f>
          </x14:formula1>
          <xm:sqref>G18</xm:sqref>
        </x14:dataValidation>
        <x14:dataValidation type="list" allowBlank="1" showInputMessage="1">
          <x14:formula1>
            <xm:f>Parameters!$D$7:$H$7</xm:f>
          </x14:formula1>
          <xm:sqref>G9</xm:sqref>
        </x14:dataValidation>
        <x14:dataValidation type="list" allowBlank="1" showInputMessage="1">
          <x14:formula1>
            <xm:f>Parameters!$D$4:$H$4</xm:f>
          </x14:formula1>
          <xm:sqref>D7</xm:sqref>
        </x14:dataValidation>
        <x14:dataValidation type="list" allowBlank="1" showInputMessage="1">
          <x14:formula1>
            <xm:f>Parameters!$D$14:$H$14</xm:f>
          </x14:formula1>
          <xm:sqref>J17:K17</xm:sqref>
        </x14:dataValidation>
        <x14:dataValidation type="list" allowBlank="1" showInputMessage="1">
          <x14:formula1>
            <xm:f>Parameters!$D$17:$H$17</xm:f>
          </x14:formula1>
          <xm:sqref>J18:K18</xm:sqref>
        </x14:dataValidation>
        <x14:dataValidation type="list" allowBlank="1" showInputMessage="1">
          <x14:formula1>
            <xm:f>Parameters!$D$21:$H$21</xm:f>
          </x14:formula1>
          <xm:sqref>J16:K16</xm:sqref>
        </x14:dataValidation>
        <x14:dataValidation type="list" allowBlank="1" showInputMessage="1">
          <x14:formula1>
            <xm:f>Parameters!$D$18:$H$18</xm:f>
          </x14:formula1>
          <xm:sqref>J10</xm:sqref>
        </x14:dataValidation>
        <x14:dataValidation type="list" allowBlank="1" showInputMessage="1">
          <x14:formula1>
            <xm:f>Parameters!$E$23:$G$23</xm:f>
          </x14:formula1>
          <xm:sqref>K7</xm:sqref>
        </x14:dataValidation>
        <x14:dataValidation type="list" allowBlank="1" showInputMessage="1">
          <x14:formula1>
            <xm:f>Parameters!$D$23:$H$23</xm:f>
          </x14:formula1>
          <xm:sqref>J7</xm:sqref>
        </x14:dataValidation>
        <x14:dataValidation type="list" allowBlank="1" showInputMessage="1">
          <x14:formula1>
            <xm:f>Parameters!$E$16:$I$16</xm:f>
          </x14:formula1>
          <xm:sqref>K10</xm:sqref>
        </x14:dataValidation>
        <x14:dataValidation type="list" allowBlank="1" showInputMessage="1">
          <x14:formula1>
            <xm:f>Parameters!$D$16:$H$16</xm:f>
          </x14:formula1>
          <xm:sqref>J8</xm:sqref>
        </x14:dataValidation>
        <x14:dataValidation type="list" allowBlank="1" showInputMessage="1">
          <x14:formula1>
            <xm:f>Parameters!$D$36:$H$36</xm:f>
          </x14:formula1>
          <xm:sqref>M7</xm:sqref>
        </x14:dataValidation>
        <x14:dataValidation type="list" allowBlank="1" showInputMessage="1">
          <x14:formula1>
            <xm:f>Parameters!$D$37:$H$37</xm:f>
          </x14:formula1>
          <xm:sqref>M8</xm:sqref>
        </x14:dataValidation>
        <x14:dataValidation type="list" allowBlank="1" showInputMessage="1">
          <x14:formula1>
            <xm:f>Parameters!$D$38:$H$38</xm:f>
          </x14:formula1>
          <xm:sqref>M9</xm:sqref>
        </x14:dataValidation>
        <x14:dataValidation type="list" allowBlank="1" showInputMessage="1">
          <x14:formula1>
            <xm:f>Parameters!$D$39:$H$39</xm:f>
          </x14:formula1>
          <xm:sqref>M10</xm:sqref>
        </x14:dataValidation>
        <x14:dataValidation type="list" allowBlank="1" showInputMessage="1">
          <x14:formula1>
            <xm:f>Parameters!$D$40:$H$40</xm:f>
          </x14:formula1>
          <xm:sqref>M11</xm:sqref>
        </x14:dataValidation>
        <x14:dataValidation type="list" allowBlank="1" showInputMessage="1">
          <x14:formula1>
            <xm:f>Parameters!$D$41:$H$41</xm:f>
          </x14:formula1>
          <xm:sqref>M12</xm:sqref>
        </x14:dataValidation>
        <x14:dataValidation type="list" allowBlank="1" showInputMessage="1">
          <x14:formula1>
            <xm:f>Parameters!$D$42:$H$42</xm:f>
          </x14:formula1>
          <xm:sqref>M13</xm:sqref>
        </x14:dataValidation>
        <x14:dataValidation type="list" allowBlank="1" showInputMessage="1">
          <x14:formula1>
            <xm:f>Parameters!$D$43:$H$43</xm:f>
          </x14:formula1>
          <xm:sqref>M14</xm:sqref>
        </x14:dataValidation>
        <x14:dataValidation type="list" allowBlank="1" showInputMessage="1">
          <x14:formula1>
            <xm:f>Parameters!$D$44:$H$44</xm:f>
          </x14:formula1>
          <xm:sqref>M15</xm:sqref>
        </x14:dataValidation>
        <x14:dataValidation type="list" allowBlank="1" showInputMessage="1">
          <x14:formula1>
            <xm:f>Parameters!$D$25:$H$25</xm:f>
          </x14:formula1>
          <xm:sqref>J9</xm:sqref>
        </x14:dataValidation>
        <x14:dataValidation type="list" allowBlank="1" showInputMessage="1">
          <x14:formula1>
            <xm:f>Parameters!$D$24:$H$24</xm:f>
          </x14:formula1>
          <xm:sqref>J11</xm:sqref>
        </x14:dataValidation>
        <x14:dataValidation type="list" allowBlank="1" showInputMessage="1">
          <x14:formula1>
            <xm:f>Parameters!$D$15:$H$15</xm:f>
          </x14:formula1>
          <xm:sqref>J15</xm:sqref>
        </x14:dataValidation>
        <x14:dataValidation type="list" allowBlank="1" showInputMessage="1">
          <x14:formula1>
            <xm:f>Parameters!$D$22:$H$22</xm:f>
          </x14:formula1>
          <xm:sqref>J14</xm:sqref>
        </x14:dataValidation>
        <x14:dataValidation type="list" allowBlank="1" showInputMessage="1">
          <x14:formula1>
            <xm:f>Parameters!$D$28:$H$28</xm:f>
          </x14:formula1>
          <xm:sqref>G16</xm:sqref>
        </x14:dataValidation>
        <x14:dataValidation type="list" allowBlank="1" showInputMessage="1">
          <x14:formula1>
            <xm:f>Parameters!$D$10:$H$10</xm:f>
          </x14:formula1>
          <xm:sqref>G14</xm:sqref>
        </x14:dataValidation>
        <x14:dataValidation type="list" allowBlank="1" showInputMessage="1">
          <x14:formula1>
            <xm:f>Parameters!$D$56:$H$56</xm:f>
          </x14:formula1>
          <xm:sqref>D14</xm:sqref>
        </x14:dataValidation>
        <x14:dataValidation type="list" allowBlank="1" showInputMessage="1">
          <x14:formula1>
            <xm:f>Parameters!$D$55:$H$55</xm:f>
          </x14:formula1>
          <xm:sqref>D11</xm:sqref>
        </x14:dataValidation>
        <x14:dataValidation type="list" allowBlank="1" showInputMessage="1">
          <x14:formula1>
            <xm:f>Parameters!$D$54:$H$54</xm:f>
          </x14:formula1>
          <xm:sqref>D10</xm:sqref>
        </x14:dataValidation>
        <x14:dataValidation type="list" allowBlank="1" showInputMessage="1">
          <x14:formula1>
            <xm:f>Parameters!$D$57:$H$57</xm:f>
          </x14:formula1>
          <xm:sqref>D16:D17</xm:sqref>
        </x14:dataValidation>
        <x14:dataValidation type="list" allowBlank="1" showInputMessage="1">
          <x14:formula1>
            <xm:f>Parameters!$D$33:$H$33</xm:f>
          </x14:formula1>
          <xm:sqref>G11</xm:sqref>
        </x14:dataValidation>
        <x14:dataValidation type="list" allowBlank="1" showInputMessage="1">
          <x14:formula1>
            <xm:f>Parameters!$D$6:$H$6</xm:f>
          </x14:formula1>
          <xm:sqref>G13</xm:sqref>
        </x14:dataValidation>
        <x14:dataValidation type="list" allowBlank="1" showInputMessage="1">
          <x14:formula1>
            <xm:f>Parameters!$D$51:$H$51</xm:f>
          </x14:formula1>
          <xm:sqref>M18</xm:sqref>
        </x14:dataValidation>
      </x14:dataValidation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B119"/>
  <sheetViews>
    <sheetView workbookViewId="0"/>
  </sheetViews>
  <sheetFormatPr baseColWidth="10" defaultColWidth="8.83203125" defaultRowHeight="11" x14ac:dyDescent="0.15"/>
  <cols>
    <col min="1" max="1" width="1.5" style="233" customWidth="1"/>
    <col min="2" max="2" width="9.5" style="233" customWidth="1"/>
    <col min="3" max="3" width="14.5" style="233" customWidth="1"/>
    <col min="4" max="4" width="5.83203125" style="233" customWidth="1"/>
    <col min="5" max="5" width="1.83203125" style="233" customWidth="1"/>
    <col min="6" max="6" width="21.5" style="233" customWidth="1"/>
    <col min="7" max="7" width="13.5" style="233" customWidth="1"/>
    <col min="8" max="8" width="1.5" style="233" customWidth="1"/>
    <col min="9" max="9" width="16.5" style="233" customWidth="1"/>
    <col min="10" max="10" width="8.5" style="233" customWidth="1"/>
    <col min="11" max="11" width="3.5" style="233" customWidth="1"/>
    <col min="12" max="12" width="22.83203125" style="233" customWidth="1"/>
    <col min="13" max="13" width="8.5" style="233" customWidth="1"/>
    <col min="14" max="14" width="0.83203125" style="233" customWidth="1"/>
    <col min="15" max="15" width="2.83203125" style="233" customWidth="1"/>
    <col min="16" max="16" width="2.5" style="233" customWidth="1"/>
    <col min="17" max="17" width="15.5" style="233" customWidth="1"/>
    <col min="18" max="18" width="30.83203125" style="233" customWidth="1"/>
    <col min="19" max="19" width="23.5" style="233" customWidth="1"/>
    <col min="20" max="20" width="1" style="233" customWidth="1"/>
    <col min="21" max="21" width="24.5" style="233" customWidth="1"/>
    <col min="22" max="23" width="12.5" style="233" customWidth="1"/>
    <col min="24" max="24" width="12.5" style="246" customWidth="1"/>
    <col min="25" max="25" width="13.5" style="233" customWidth="1"/>
    <col min="26" max="26" width="14.1640625" style="233" customWidth="1"/>
    <col min="27" max="28" width="11.5" style="233" customWidth="1"/>
    <col min="29" max="29" width="2.5" style="233" customWidth="1"/>
    <col min="30" max="30" width="28.5" style="233" customWidth="1"/>
    <col min="31" max="31" width="14.5" style="233" bestFit="1" customWidth="1"/>
    <col min="32" max="16384" width="8.83203125" style="233"/>
  </cols>
  <sheetData>
    <row r="1" spans="1:54" ht="6" customHeight="1" thickBot="1" x14ac:dyDescent="0.35">
      <c r="A1" s="274"/>
      <c r="B1" s="246"/>
      <c r="C1" s="246"/>
      <c r="D1" s="246"/>
      <c r="E1" s="246"/>
      <c r="F1" s="246"/>
      <c r="G1" s="246"/>
      <c r="H1" s="246"/>
      <c r="I1" s="246"/>
      <c r="J1" s="246"/>
      <c r="K1" s="246"/>
      <c r="L1" s="246"/>
      <c r="M1" s="246"/>
      <c r="N1" s="246"/>
      <c r="O1" s="246"/>
      <c r="P1" s="246"/>
      <c r="Q1" s="246"/>
      <c r="R1" s="254"/>
      <c r="S1" s="246"/>
      <c r="T1" s="246"/>
      <c r="U1" s="246"/>
      <c r="V1" s="246"/>
      <c r="W1" s="246"/>
      <c r="Y1" s="246"/>
      <c r="Z1" s="246"/>
      <c r="AA1" s="246"/>
      <c r="AB1" s="246"/>
      <c r="AC1" s="246"/>
      <c r="AD1" s="246"/>
      <c r="AE1" s="246"/>
      <c r="AF1" s="246"/>
      <c r="AG1" s="246"/>
      <c r="AH1" s="246"/>
      <c r="AI1" s="246"/>
      <c r="AJ1" s="246"/>
      <c r="AK1" s="246"/>
      <c r="AL1" s="246"/>
      <c r="AM1" s="246"/>
      <c r="AN1" s="246"/>
      <c r="AO1" s="246"/>
      <c r="AP1" s="246"/>
      <c r="AQ1" s="246"/>
    </row>
    <row r="2" spans="1:54" ht="15" customHeight="1" x14ac:dyDescent="0.25">
      <c r="A2" s="246"/>
      <c r="B2" s="246"/>
      <c r="C2" s="334"/>
      <c r="D2" s="249"/>
      <c r="E2" s="249"/>
      <c r="F2" s="246"/>
      <c r="G2" s="246"/>
      <c r="H2" s="246"/>
      <c r="I2" s="246"/>
      <c r="J2" s="246"/>
      <c r="K2" s="274"/>
      <c r="L2" s="386"/>
      <c r="M2" s="274"/>
      <c r="N2" s="246"/>
      <c r="O2" s="246"/>
      <c r="P2" s="246"/>
      <c r="Q2" s="246"/>
      <c r="S2" s="553" t="s">
        <v>409</v>
      </c>
      <c r="T2" s="554"/>
      <c r="U2" s="333"/>
      <c r="V2" s="333"/>
      <c r="W2" s="333"/>
      <c r="X2" s="333"/>
      <c r="Y2" s="246"/>
      <c r="Z2" s="557" t="s">
        <v>290</v>
      </c>
      <c r="AA2" s="558"/>
      <c r="AB2" s="559"/>
      <c r="AC2" s="246"/>
      <c r="AD2" s="246"/>
      <c r="AE2" s="246"/>
      <c r="AF2" s="246"/>
      <c r="AG2" s="246"/>
      <c r="AH2" s="246"/>
      <c r="AI2" s="246"/>
      <c r="AJ2" s="246"/>
      <c r="AK2" s="246"/>
      <c r="AL2" s="246"/>
      <c r="AM2" s="246"/>
      <c r="AN2" s="246"/>
      <c r="AO2" s="246"/>
      <c r="AP2" s="246"/>
      <c r="AQ2" s="246"/>
      <c r="AS2" s="232" t="s">
        <v>477</v>
      </c>
      <c r="AT2" s="232" t="s">
        <v>478</v>
      </c>
      <c r="AU2" s="232" t="s">
        <v>479</v>
      </c>
      <c r="AV2" s="232" t="s">
        <v>480</v>
      </c>
      <c r="AW2" s="232" t="s">
        <v>481</v>
      </c>
      <c r="AX2" s="232" t="s">
        <v>482</v>
      </c>
      <c r="AY2" s="232" t="s">
        <v>483</v>
      </c>
      <c r="AZ2" s="232" t="s">
        <v>432</v>
      </c>
      <c r="BA2" s="232" t="s">
        <v>485</v>
      </c>
    </row>
    <row r="3" spans="1:54" ht="19.5" customHeight="1" thickBot="1" x14ac:dyDescent="0.3">
      <c r="A3" s="246"/>
      <c r="B3" s="334"/>
      <c r="C3" s="334"/>
      <c r="D3" s="249"/>
      <c r="E3" s="249"/>
      <c r="F3" s="246"/>
      <c r="G3" s="246"/>
      <c r="H3" s="246"/>
      <c r="I3" s="246"/>
      <c r="J3" s="246"/>
      <c r="K3" s="274"/>
      <c r="L3" s="274"/>
      <c r="M3" s="274"/>
      <c r="N3" s="246"/>
      <c r="O3" s="246"/>
      <c r="P3" s="246"/>
      <c r="Q3" s="246"/>
      <c r="R3" s="333"/>
      <c r="S3" s="555"/>
      <c r="T3" s="556"/>
      <c r="U3" s="333"/>
      <c r="V3" s="333"/>
      <c r="W3" s="333"/>
      <c r="X3" s="333"/>
      <c r="Y3" s="246"/>
      <c r="Z3" s="560"/>
      <c r="AA3" s="561"/>
      <c r="AB3" s="562"/>
      <c r="AC3" s="246"/>
      <c r="AD3" s="246"/>
      <c r="AE3" s="246"/>
      <c r="AF3" s="246"/>
      <c r="AG3" s="246"/>
      <c r="AH3" s="246"/>
      <c r="AI3" s="246"/>
      <c r="AJ3" s="246"/>
      <c r="AK3" s="246"/>
      <c r="AL3" s="246"/>
      <c r="AM3" s="246"/>
      <c r="AN3" s="246"/>
      <c r="AO3" s="246"/>
      <c r="AP3" s="246"/>
      <c r="AQ3" s="246"/>
      <c r="AS3" s="232"/>
      <c r="AT3" s="232"/>
      <c r="AU3" s="232"/>
      <c r="AV3" s="232"/>
      <c r="AW3" s="232"/>
      <c r="AX3" s="232"/>
      <c r="AY3" s="232"/>
      <c r="AZ3" s="232"/>
      <c r="BA3" s="232"/>
    </row>
    <row r="4" spans="1:54" ht="40.75" customHeight="1" x14ac:dyDescent="0.2">
      <c r="A4" s="246"/>
      <c r="B4" s="563" t="s">
        <v>365</v>
      </c>
      <c r="C4" s="563"/>
      <c r="D4" s="563"/>
      <c r="E4" s="336"/>
      <c r="F4" s="565" t="s">
        <v>408</v>
      </c>
      <c r="G4" s="566"/>
      <c r="H4" s="249"/>
      <c r="I4" s="246"/>
      <c r="J4" s="246"/>
      <c r="K4" s="246"/>
      <c r="L4" s="246"/>
      <c r="M4" s="246"/>
      <c r="N4" s="277"/>
      <c r="O4" s="277"/>
      <c r="P4" s="277"/>
      <c r="Q4" s="332"/>
      <c r="R4" s="457" t="s">
        <v>393</v>
      </c>
      <c r="S4" s="457" t="s">
        <v>245</v>
      </c>
      <c r="T4" s="569" t="s">
        <v>244</v>
      </c>
      <c r="U4" s="569"/>
      <c r="V4" s="569" t="s">
        <v>395</v>
      </c>
      <c r="W4" s="570"/>
      <c r="X4" s="238"/>
      <c r="Y4" s="246"/>
      <c r="Z4" s="369" t="s">
        <v>291</v>
      </c>
      <c r="AA4" s="370"/>
      <c r="AB4" s="371"/>
      <c r="AC4" s="242"/>
      <c r="AD4" s="372" t="s">
        <v>292</v>
      </c>
      <c r="AE4" s="373"/>
      <c r="AF4" s="246"/>
      <c r="AG4" s="246"/>
      <c r="AH4" s="246"/>
      <c r="AI4" s="246"/>
      <c r="AJ4" s="246"/>
      <c r="AK4" s="246"/>
      <c r="AL4" s="246"/>
      <c r="AM4" s="246"/>
      <c r="AN4" s="246"/>
      <c r="AO4" s="246"/>
      <c r="AP4" s="246"/>
      <c r="AQ4" s="246"/>
      <c r="AS4" s="232">
        <v>0</v>
      </c>
      <c r="AT4" s="278">
        <f>Q37</f>
        <v>212.7659574468085</v>
      </c>
      <c r="AU4" s="278">
        <f>(1-$D$11)*AT4</f>
        <v>106.38297872340425</v>
      </c>
      <c r="AV4" s="278"/>
      <c r="AW4" s="232"/>
      <c r="AX4" s="232">
        <f>IF(ISNUMBER(AS5),SUM(AU4:AV4),SUM(AU4:AW4))</f>
        <v>106.38297872340425</v>
      </c>
      <c r="AY4" s="279">
        <f t="shared" ref="AY4:AY30" si="0">LN(AX4+$J$37)-LN($J$37)</f>
        <v>0.31632022465180309</v>
      </c>
      <c r="AZ4" s="232">
        <f>IF(ISNUMBER(AS4),AY4/(1+$D$7)^AS4,0)</f>
        <v>0.31632022465180309</v>
      </c>
      <c r="BA4" s="232"/>
    </row>
    <row r="5" spans="1:54" ht="10.75" customHeight="1" thickBot="1" x14ac:dyDescent="0.25">
      <c r="A5" s="246"/>
      <c r="B5" s="564"/>
      <c r="C5" s="564"/>
      <c r="D5" s="564"/>
      <c r="E5" s="335"/>
      <c r="F5" s="567"/>
      <c r="G5" s="568"/>
      <c r="H5" s="256"/>
      <c r="I5" s="256"/>
      <c r="J5" s="246"/>
      <c r="K5" s="246"/>
      <c r="L5" s="246"/>
      <c r="M5" s="246"/>
      <c r="N5" s="246"/>
      <c r="O5" s="246"/>
      <c r="P5" s="246"/>
      <c r="Q5" s="459" t="s">
        <v>411</v>
      </c>
      <c r="R5" s="458">
        <f>D37/(1+D7)^10</f>
        <v>0.16514266520246426</v>
      </c>
      <c r="S5" s="458">
        <f>R5*(1-1/(1+D7)^G16)/(1-1/(1+D7))</f>
        <v>2.9753821155847677</v>
      </c>
      <c r="T5" s="571">
        <f>S5*G11*G7*G9*G18*G8/G37</f>
        <v>0.19770768733000174</v>
      </c>
      <c r="U5" s="571"/>
      <c r="V5" s="572">
        <f>$G$14*$G$10</f>
        <v>5.2824539999999998E-3</v>
      </c>
      <c r="W5" s="573"/>
      <c r="X5" s="238"/>
      <c r="Y5" s="246"/>
      <c r="Z5" s="357" t="s">
        <v>121</v>
      </c>
      <c r="AA5" s="358"/>
      <c r="AB5" s="359"/>
      <c r="AC5" s="247"/>
      <c r="AD5" s="238"/>
      <c r="AE5" s="244"/>
      <c r="AF5" s="246"/>
      <c r="AG5" s="246"/>
      <c r="AH5" s="246"/>
      <c r="AI5" s="246"/>
      <c r="AJ5" s="246"/>
      <c r="AK5" s="246"/>
      <c r="AL5" s="246"/>
      <c r="AM5" s="246"/>
      <c r="AN5" s="246"/>
      <c r="AO5" s="246"/>
      <c r="AP5" s="246"/>
      <c r="AQ5" s="246"/>
      <c r="AS5" s="232">
        <f t="shared" ref="AS5:AS68" si="1">IF(AS4&lt;$D$14,AS4+1,"")</f>
        <v>1</v>
      </c>
      <c r="AT5" s="278">
        <f>AT4-AU4</f>
        <v>106.38297872340425</v>
      </c>
      <c r="AU5" s="278"/>
      <c r="AV5" s="278">
        <f t="shared" ref="AV5:AV71" si="2">$D$10*AT5</f>
        <v>15.957446808510637</v>
      </c>
      <c r="AW5" s="278">
        <f>AT5</f>
        <v>106.38297872340425</v>
      </c>
      <c r="AX5" s="232">
        <f t="shared" ref="AX5:AX14" si="3">IF(ISNUMBER(AS6),SUM(AU5:AV5),SUM(AU5:AW5))</f>
        <v>15.957446808510637</v>
      </c>
      <c r="AY5" s="279">
        <f t="shared" si="0"/>
        <v>5.4308655312616416E-2</v>
      </c>
      <c r="AZ5" s="232">
        <f t="shared" ref="AZ5:AZ71" si="4">IF(ISNUMBER(AS5),AY5/(1+$D$7)^AS5,0)</f>
        <v>5.1722528869158492E-2</v>
      </c>
      <c r="BA5" s="232">
        <f>SUM(AZ5:AZ114)</f>
        <v>0.79058209855213102</v>
      </c>
      <c r="BB5" s="233">
        <f>SUM(AZ5:AZ23)</f>
        <v>0.65633752491002728</v>
      </c>
    </row>
    <row r="6" spans="1:54" ht="15" customHeight="1" x14ac:dyDescent="0.2">
      <c r="A6" s="246"/>
      <c r="B6" s="242"/>
      <c r="C6" s="587" t="s">
        <v>540</v>
      </c>
      <c r="D6" s="587"/>
      <c r="E6" s="271"/>
      <c r="F6" s="350" t="s">
        <v>541</v>
      </c>
      <c r="G6" s="351"/>
      <c r="H6" s="272"/>
      <c r="I6" s="587" t="s">
        <v>567</v>
      </c>
      <c r="J6" s="587"/>
      <c r="K6" s="272"/>
      <c r="L6" s="588" t="s">
        <v>390</v>
      </c>
      <c r="M6" s="588"/>
      <c r="N6" s="243"/>
      <c r="O6" s="238"/>
      <c r="P6" s="246"/>
      <c r="Q6" s="459" t="s">
        <v>412</v>
      </c>
      <c r="R6" s="458">
        <f>(M15*M11)/(1+D7)^10</f>
        <v>1.7680701701973868E-2</v>
      </c>
      <c r="S6" s="458">
        <f>R6*(1-1/(1+D7)^G16)/(1-1/(1+D7))</f>
        <v>0.31855392166855506</v>
      </c>
      <c r="T6" s="571">
        <f>S6*M8*M9*M14*(W37/V37)*G11</f>
        <v>5.91591400890635E-3</v>
      </c>
      <c r="U6" s="571"/>
      <c r="V6" s="572">
        <v>0</v>
      </c>
      <c r="W6" s="589"/>
      <c r="X6" s="238"/>
      <c r="Y6" s="246"/>
      <c r="Z6" s="360" t="s">
        <v>570</v>
      </c>
      <c r="AA6" s="361"/>
      <c r="AB6" s="362">
        <f>$G$7*$G$8*$G$9*G$18*$J7</f>
        <v>2.3576400000000001E-2</v>
      </c>
      <c r="AC6" s="247"/>
      <c r="AD6" s="590" t="s">
        <v>123</v>
      </c>
      <c r="AE6" s="574">
        <f>G10</f>
        <v>3</v>
      </c>
      <c r="AF6" s="246"/>
      <c r="AG6" s="246"/>
      <c r="AH6" s="246"/>
      <c r="AI6" s="246"/>
      <c r="AJ6" s="246"/>
      <c r="AK6" s="246"/>
      <c r="AL6" s="246"/>
      <c r="AM6" s="246"/>
      <c r="AN6" s="246"/>
      <c r="AO6" s="246"/>
      <c r="AP6" s="246"/>
      <c r="AQ6" s="246"/>
      <c r="AS6" s="232">
        <f t="shared" si="1"/>
        <v>2</v>
      </c>
      <c r="AT6" s="278">
        <f t="shared" ref="AT6:AT72" si="5">IF(ISNUMBER(AS6),AW5,0)</f>
        <v>106.38297872340425</v>
      </c>
      <c r="AU6" s="278"/>
      <c r="AV6" s="278">
        <f t="shared" si="2"/>
        <v>15.957446808510637</v>
      </c>
      <c r="AW6" s="278">
        <f t="shared" ref="AW6:AW72" si="6">AT6</f>
        <v>106.38297872340425</v>
      </c>
      <c r="AX6" s="232">
        <f t="shared" si="3"/>
        <v>15.957446808510637</v>
      </c>
      <c r="AY6" s="279">
        <f t="shared" si="0"/>
        <v>5.4308655312616416E-2</v>
      </c>
      <c r="AZ6" s="232">
        <f t="shared" si="4"/>
        <v>4.9259551303960467E-2</v>
      </c>
      <c r="BA6" s="232"/>
    </row>
    <row r="7" spans="1:54" ht="20.5" customHeight="1" x14ac:dyDescent="0.2">
      <c r="A7" s="246"/>
      <c r="B7" s="576" t="s">
        <v>573</v>
      </c>
      <c r="C7" s="301" t="s">
        <v>528</v>
      </c>
      <c r="D7" s="139">
        <v>0.05</v>
      </c>
      <c r="E7" s="234"/>
      <c r="F7" s="321" t="s">
        <v>532</v>
      </c>
      <c r="G7" s="440">
        <f>0.37/(0.52+0.08)</f>
        <v>0.6166666666666667</v>
      </c>
      <c r="H7" s="236"/>
      <c r="I7" s="321" t="s">
        <v>536</v>
      </c>
      <c r="J7" s="441">
        <v>0.21240000000000001</v>
      </c>
      <c r="K7" s="314"/>
      <c r="L7" s="321" t="s">
        <v>397</v>
      </c>
      <c r="M7" s="324">
        <v>0.1</v>
      </c>
      <c r="N7" s="244"/>
      <c r="O7" s="238"/>
      <c r="P7" s="246"/>
      <c r="Q7" s="247"/>
      <c r="R7" s="238"/>
      <c r="S7" s="238"/>
      <c r="T7" s="238"/>
      <c r="U7" s="318"/>
      <c r="V7" s="238"/>
      <c r="W7" s="244"/>
      <c r="X7" s="238"/>
      <c r="Y7" s="246"/>
      <c r="Z7" s="360" t="s">
        <v>560</v>
      </c>
      <c r="AA7" s="361"/>
      <c r="AB7" s="362">
        <f>$G$7*$G$8*$G$9*G$18*$J8</f>
        <v>2.883592037297027E-2</v>
      </c>
      <c r="AC7" s="247"/>
      <c r="AD7" s="591"/>
      <c r="AE7" s="575"/>
      <c r="AF7" s="246"/>
      <c r="AG7" s="246"/>
      <c r="AH7" s="246"/>
      <c r="AI7" s="246"/>
      <c r="AJ7" s="246"/>
      <c r="AK7" s="246"/>
      <c r="AL7" s="246"/>
      <c r="AM7" s="246"/>
      <c r="AN7" s="246"/>
      <c r="AO7" s="246"/>
      <c r="AP7" s="246"/>
      <c r="AQ7" s="246"/>
      <c r="AS7" s="232">
        <f t="shared" si="1"/>
        <v>3</v>
      </c>
      <c r="AT7" s="278">
        <f>IF(ISNUMBER(AS7),AW6,0)</f>
        <v>106.38297872340425</v>
      </c>
      <c r="AU7" s="278"/>
      <c r="AV7" s="278">
        <f t="shared" si="2"/>
        <v>15.957446808510637</v>
      </c>
      <c r="AW7" s="278">
        <f t="shared" si="6"/>
        <v>106.38297872340425</v>
      </c>
      <c r="AX7" s="232">
        <f t="shared" si="3"/>
        <v>15.957446808510637</v>
      </c>
      <c r="AY7" s="279">
        <f t="shared" si="0"/>
        <v>5.4308655312616416E-2</v>
      </c>
      <c r="AZ7" s="232">
        <f t="shared" si="4"/>
        <v>4.6913858384724248E-2</v>
      </c>
      <c r="BA7" s="232"/>
    </row>
    <row r="8" spans="1:54" ht="25" customHeight="1" thickBot="1" x14ac:dyDescent="0.25">
      <c r="A8" s="246"/>
      <c r="B8" s="576"/>
      <c r="C8" s="294"/>
      <c r="D8" s="294"/>
      <c r="E8" s="273"/>
      <c r="F8" s="323" t="s">
        <v>534</v>
      </c>
      <c r="G8" s="245">
        <v>0.6</v>
      </c>
      <c r="H8" s="237"/>
      <c r="I8" s="312" t="s">
        <v>537</v>
      </c>
      <c r="J8" s="442">
        <v>0.25978306642315557</v>
      </c>
      <c r="K8" s="315"/>
      <c r="L8" s="312" t="s">
        <v>391</v>
      </c>
      <c r="M8" s="313">
        <v>0.8</v>
      </c>
      <c r="N8" s="244"/>
      <c r="O8" s="238"/>
      <c r="P8" s="246"/>
      <c r="Q8" s="577" t="s">
        <v>413</v>
      </c>
      <c r="R8" s="238"/>
      <c r="S8" s="460" t="s">
        <v>246</v>
      </c>
      <c r="T8" s="578" t="s">
        <v>562</v>
      </c>
      <c r="U8" s="578"/>
      <c r="V8" s="578" t="s">
        <v>446</v>
      </c>
      <c r="W8" s="662"/>
      <c r="X8" s="238"/>
      <c r="Y8" s="246"/>
      <c r="Z8" s="360" t="s">
        <v>566</v>
      </c>
      <c r="AA8" s="361"/>
      <c r="AB8" s="362">
        <f>$G$7*$G$8*$G$9*G$18/M18</f>
        <v>2.6206160186485136E-2</v>
      </c>
      <c r="AC8" s="374"/>
      <c r="AD8" s="375" t="s">
        <v>124</v>
      </c>
      <c r="AE8" s="376">
        <f>(AE6*U37)/S5</f>
        <v>36.827202605694445</v>
      </c>
      <c r="AF8" s="246"/>
      <c r="AG8" s="246"/>
      <c r="AH8" s="246"/>
      <c r="AI8" s="246"/>
      <c r="AJ8" s="246"/>
      <c r="AK8" s="246"/>
      <c r="AL8" s="246"/>
      <c r="AM8" s="246"/>
      <c r="AN8" s="246"/>
      <c r="AO8" s="246"/>
      <c r="AP8" s="246"/>
      <c r="AQ8" s="246"/>
      <c r="AS8" s="232">
        <f t="shared" si="1"/>
        <v>4</v>
      </c>
      <c r="AT8" s="278">
        <f t="shared" si="5"/>
        <v>106.38297872340425</v>
      </c>
      <c r="AU8" s="278"/>
      <c r="AV8" s="278">
        <f t="shared" si="2"/>
        <v>15.957446808510637</v>
      </c>
      <c r="AW8" s="278">
        <f t="shared" si="6"/>
        <v>106.38297872340425</v>
      </c>
      <c r="AX8" s="232">
        <f t="shared" si="3"/>
        <v>15.957446808510637</v>
      </c>
      <c r="AY8" s="279">
        <f t="shared" si="0"/>
        <v>5.4308655312616416E-2</v>
      </c>
      <c r="AZ8" s="232">
        <f t="shared" si="4"/>
        <v>4.4679865128308814E-2</v>
      </c>
      <c r="BA8" s="232"/>
    </row>
    <row r="9" spans="1:54" ht="33" x14ac:dyDescent="0.2">
      <c r="A9" s="246"/>
      <c r="B9" s="576"/>
      <c r="C9" s="581" t="s">
        <v>542</v>
      </c>
      <c r="D9" s="581"/>
      <c r="E9" s="234"/>
      <c r="F9" s="312" t="s">
        <v>440</v>
      </c>
      <c r="G9" s="313">
        <v>1</v>
      </c>
      <c r="H9" s="237"/>
      <c r="I9" s="312" t="s">
        <v>386</v>
      </c>
      <c r="J9" s="379">
        <v>1</v>
      </c>
      <c r="K9" s="315"/>
      <c r="L9" s="312" t="s">
        <v>392</v>
      </c>
      <c r="M9" s="313">
        <v>0.7</v>
      </c>
      <c r="N9" s="244"/>
      <c r="O9" s="238"/>
      <c r="P9" s="246"/>
      <c r="Q9" s="577"/>
      <c r="R9" s="253" t="s">
        <v>572</v>
      </c>
      <c r="S9" s="468">
        <f>J11*($T$5*AB13*J14*J7+$V$5*(J7*$G$13))</f>
        <v>3.0611725273129584E-2</v>
      </c>
      <c r="T9" s="582">
        <f>S9/(J16/J9)</f>
        <v>4.8590040116078703E-2</v>
      </c>
      <c r="U9" s="582"/>
      <c r="V9" s="663">
        <f>($G$10*$U$37)/T9</f>
        <v>2255.0917788549236</v>
      </c>
      <c r="W9" s="664"/>
      <c r="X9" s="238"/>
      <c r="Y9" s="387"/>
      <c r="Z9" s="585" t="s">
        <v>288</v>
      </c>
      <c r="AA9" s="586"/>
      <c r="AB9" s="411">
        <v>0.05</v>
      </c>
      <c r="AC9" s="246"/>
      <c r="AD9" s="246"/>
      <c r="AE9" s="388"/>
      <c r="AF9" s="246"/>
      <c r="AG9" s="246"/>
      <c r="AH9" s="246"/>
      <c r="AI9" s="246"/>
      <c r="AJ9" s="246"/>
      <c r="AK9" s="246"/>
      <c r="AL9" s="246"/>
      <c r="AM9" s="246"/>
      <c r="AN9" s="246"/>
      <c r="AO9" s="246"/>
      <c r="AP9" s="246"/>
      <c r="AQ9" s="246"/>
      <c r="AS9" s="232">
        <f t="shared" si="1"/>
        <v>5</v>
      </c>
      <c r="AT9" s="278">
        <f t="shared" si="5"/>
        <v>106.38297872340425</v>
      </c>
      <c r="AU9" s="278"/>
      <c r="AV9" s="278">
        <f t="shared" si="2"/>
        <v>15.957446808510637</v>
      </c>
      <c r="AW9" s="278">
        <f t="shared" si="6"/>
        <v>106.38297872340425</v>
      </c>
      <c r="AX9" s="232">
        <f>IF(ISNUMBER(AS10),SUM(AU9:AV9),SUM(AU9:AW9))</f>
        <v>15.957446808510637</v>
      </c>
      <c r="AY9" s="279">
        <f t="shared" si="0"/>
        <v>5.4308655312616416E-2</v>
      </c>
      <c r="AZ9" s="232">
        <f t="shared" si="4"/>
        <v>4.2552252503151249E-2</v>
      </c>
      <c r="BA9" s="232"/>
    </row>
    <row r="10" spans="1:54" ht="39.75" customHeight="1" x14ac:dyDescent="0.2">
      <c r="A10" s="246"/>
      <c r="B10" s="576"/>
      <c r="C10" s="291" t="s">
        <v>531</v>
      </c>
      <c r="D10" s="292">
        <v>0.15</v>
      </c>
      <c r="E10" s="284"/>
      <c r="F10" s="312" t="s">
        <v>231</v>
      </c>
      <c r="G10" s="503">
        <v>3</v>
      </c>
      <c r="H10" s="285"/>
      <c r="I10" s="312" t="s">
        <v>387</v>
      </c>
      <c r="J10" s="379">
        <v>1</v>
      </c>
      <c r="K10" s="315"/>
      <c r="L10" s="312" t="s">
        <v>406</v>
      </c>
      <c r="M10" s="313">
        <v>1</v>
      </c>
      <c r="N10" s="244"/>
      <c r="O10" s="238"/>
      <c r="P10" s="246"/>
      <c r="Q10" s="577"/>
      <c r="R10" s="253" t="s">
        <v>14</v>
      </c>
      <c r="S10" s="468">
        <f>J18*($T$5*AB14*J15*J8+$V$5*(J8*$G$13))</f>
        <v>3.9893124050872995E-2</v>
      </c>
      <c r="T10" s="582">
        <f>S10/(J17/J10)</f>
        <v>5.5407116737323604E-2</v>
      </c>
      <c r="U10" s="582"/>
      <c r="V10" s="663">
        <f>($G$10*$U$37)/T10</f>
        <v>1977.6340378705825</v>
      </c>
      <c r="W10" s="664"/>
      <c r="X10" s="238"/>
      <c r="Y10" s="246"/>
      <c r="Z10" s="592" t="s">
        <v>289</v>
      </c>
      <c r="AA10" s="593"/>
      <c r="AB10" s="377" t="s">
        <v>287</v>
      </c>
      <c r="AC10" s="246"/>
      <c r="AD10" s="387"/>
      <c r="AE10" s="388"/>
      <c r="AF10" s="246"/>
      <c r="AG10" s="246"/>
      <c r="AH10" s="246"/>
      <c r="AI10" s="246"/>
      <c r="AJ10" s="246"/>
      <c r="AK10" s="246"/>
      <c r="AL10" s="246"/>
      <c r="AM10" s="246"/>
      <c r="AN10" s="246"/>
      <c r="AO10" s="246"/>
      <c r="AP10" s="246"/>
      <c r="AQ10" s="246"/>
      <c r="AS10" s="232">
        <f t="shared" si="1"/>
        <v>6</v>
      </c>
      <c r="AT10" s="278">
        <f>IF(ISNUMBER(AS10),AW9,0)</f>
        <v>106.38297872340425</v>
      </c>
      <c r="AU10" s="278"/>
      <c r="AV10" s="278">
        <f t="shared" si="2"/>
        <v>15.957446808510637</v>
      </c>
      <c r="AW10" s="278">
        <f t="shared" si="6"/>
        <v>106.38297872340425</v>
      </c>
      <c r="AX10" s="232">
        <f>IF(ISNUMBER(AS11),SUM(AU10:AV10),SUM(AU10:AW10))</f>
        <v>15.957446808510637</v>
      </c>
      <c r="AY10" s="279">
        <f t="shared" si="0"/>
        <v>5.4308655312616416E-2</v>
      </c>
      <c r="AZ10" s="232">
        <f t="shared" si="4"/>
        <v>4.0525954764905954E-2</v>
      </c>
      <c r="BA10" s="232"/>
    </row>
    <row r="11" spans="1:54" ht="33" customHeight="1" x14ac:dyDescent="0.2">
      <c r="A11" s="246"/>
      <c r="B11" s="576"/>
      <c r="C11" s="298" t="s">
        <v>533</v>
      </c>
      <c r="D11" s="299">
        <v>0.5</v>
      </c>
      <c r="E11" s="235"/>
      <c r="F11" s="312" t="s">
        <v>241</v>
      </c>
      <c r="G11" s="504">
        <f>4.7/2*(1/(1+0.05)^10)</f>
        <v>1.4426961458207845</v>
      </c>
      <c r="H11" s="238"/>
      <c r="I11" s="312" t="s">
        <v>230</v>
      </c>
      <c r="J11" s="442">
        <v>0.71</v>
      </c>
      <c r="K11" s="315"/>
      <c r="L11" s="312" t="s">
        <v>405</v>
      </c>
      <c r="M11" s="313">
        <v>0.8</v>
      </c>
      <c r="N11" s="244"/>
      <c r="O11" s="246"/>
      <c r="P11" s="246"/>
      <c r="Q11" s="577"/>
      <c r="R11" s="253" t="s">
        <v>566</v>
      </c>
      <c r="S11" s="468" t="s">
        <v>120</v>
      </c>
      <c r="T11" s="582">
        <f>(1/S37)*(1/M18)*T5*AB15+(1/R37)*U37*G10</f>
        <v>5.1531876878162589E-2</v>
      </c>
      <c r="U11" s="582">
        <f>(1/S37)*(1/M18)*T5+1/R37*(G10*S5)</f>
        <v>1.6070451489367327E-2</v>
      </c>
      <c r="V11" s="663">
        <f>($G$10*$U$37)/T11</f>
        <v>2126.3537569002087</v>
      </c>
      <c r="W11" s="664"/>
      <c r="X11" s="238"/>
      <c r="Y11" s="246"/>
      <c r="Z11" s="247"/>
      <c r="AA11" s="238"/>
      <c r="AB11" s="244"/>
      <c r="AC11" s="246"/>
      <c r="AD11" s="246"/>
      <c r="AE11" s="246"/>
      <c r="AF11" s="246"/>
      <c r="AG11" s="246"/>
      <c r="AH11" s="246"/>
      <c r="AI11" s="246"/>
      <c r="AJ11" s="246"/>
      <c r="AK11" s="246"/>
      <c r="AL11" s="246"/>
      <c r="AM11" s="246"/>
      <c r="AN11" s="246"/>
      <c r="AO11" s="246"/>
      <c r="AP11" s="246"/>
      <c r="AQ11" s="246"/>
      <c r="AS11" s="232">
        <f t="shared" si="1"/>
        <v>7</v>
      </c>
      <c r="AT11" s="278">
        <f>IF(ISNUMBER(AS11),AW10,0)</f>
        <v>106.38297872340425</v>
      </c>
      <c r="AU11" s="278"/>
      <c r="AV11" s="278">
        <f t="shared" si="2"/>
        <v>15.957446808510637</v>
      </c>
      <c r="AW11" s="278">
        <f t="shared" si="6"/>
        <v>106.38297872340425</v>
      </c>
      <c r="AX11" s="232">
        <f>IF(ISNUMBER(AS12),SUM(AU11:AV11),SUM(AU11:AW11))</f>
        <v>15.957446808510637</v>
      </c>
      <c r="AY11" s="279">
        <f t="shared" si="0"/>
        <v>5.4308655312616416E-2</v>
      </c>
      <c r="AZ11" s="232">
        <f t="shared" si="4"/>
        <v>3.8596147395148522E-2</v>
      </c>
      <c r="BA11" s="232"/>
    </row>
    <row r="12" spans="1:54" ht="22.75" customHeight="1" thickBot="1" x14ac:dyDescent="0.25">
      <c r="A12" s="246"/>
      <c r="B12" s="247"/>
      <c r="C12" s="241"/>
      <c r="D12" s="240"/>
      <c r="E12" s="234"/>
      <c r="F12" s="390"/>
      <c r="G12" s="391"/>
      <c r="H12" s="241"/>
      <c r="I12" s="241"/>
      <c r="J12" s="380"/>
      <c r="K12" s="238"/>
      <c r="L12" s="312" t="s">
        <v>399</v>
      </c>
      <c r="M12" s="313">
        <v>0.66</v>
      </c>
      <c r="N12" s="244"/>
      <c r="O12" s="238"/>
      <c r="P12" s="246"/>
      <c r="Q12" s="293"/>
      <c r="R12" s="253" t="s">
        <v>396</v>
      </c>
      <c r="S12" s="468">
        <f>T6*M12</f>
        <v>3.9045032458781912E-3</v>
      </c>
      <c r="T12" s="582">
        <f>M13*S12/(M7/M10)</f>
        <v>1.9522516229390954E-2</v>
      </c>
      <c r="U12" s="582"/>
      <c r="V12" s="594" t="s">
        <v>120</v>
      </c>
      <c r="W12" s="595"/>
      <c r="X12" s="238"/>
      <c r="Y12" s="246"/>
      <c r="Z12" s="363" t="s">
        <v>286</v>
      </c>
      <c r="AA12" s="358"/>
      <c r="AB12" s="364"/>
      <c r="AC12" s="246"/>
      <c r="AD12" s="246"/>
      <c r="AE12" s="246"/>
      <c r="AF12" s="246"/>
      <c r="AG12" s="246"/>
      <c r="AH12" s="246"/>
      <c r="AI12" s="246"/>
      <c r="AJ12" s="246"/>
      <c r="AK12" s="246"/>
      <c r="AL12" s="246"/>
      <c r="AM12" s="246"/>
      <c r="AN12" s="246"/>
      <c r="AO12" s="246"/>
      <c r="AP12" s="246"/>
      <c r="AQ12" s="246"/>
      <c r="AS12" s="232">
        <f t="shared" si="1"/>
        <v>8</v>
      </c>
      <c r="AT12" s="278">
        <f>IF(ISNUMBER(AS12),AW11,0)</f>
        <v>106.38297872340425</v>
      </c>
      <c r="AU12" s="278"/>
      <c r="AV12" s="278">
        <f t="shared" si="2"/>
        <v>15.957446808510637</v>
      </c>
      <c r="AW12" s="278">
        <f t="shared" si="6"/>
        <v>106.38297872340425</v>
      </c>
      <c r="AX12" s="232">
        <f>IF(ISNUMBER(AS13),SUM(AU12:AV12),SUM(AU12:AW12))</f>
        <v>15.957446808510637</v>
      </c>
      <c r="AY12" s="279">
        <f t="shared" si="0"/>
        <v>5.4308655312616416E-2</v>
      </c>
      <c r="AZ12" s="232">
        <f t="shared" si="4"/>
        <v>3.6758235614427169E-2</v>
      </c>
      <c r="BA12" s="232"/>
    </row>
    <row r="13" spans="1:54" ht="30.75" customHeight="1" x14ac:dyDescent="0.2">
      <c r="A13" s="246"/>
      <c r="B13" s="247"/>
      <c r="C13" s="241"/>
      <c r="D13" s="240"/>
      <c r="E13" s="234"/>
      <c r="F13" s="310" t="s">
        <v>217</v>
      </c>
      <c r="G13" s="506">
        <v>1</v>
      </c>
      <c r="H13" s="238"/>
      <c r="I13" s="241"/>
      <c r="J13" s="380"/>
      <c r="K13" s="238"/>
      <c r="L13" s="312" t="s">
        <v>398</v>
      </c>
      <c r="M13" s="313">
        <v>0.5</v>
      </c>
      <c r="N13" s="244"/>
      <c r="O13" s="238"/>
      <c r="P13" s="246"/>
      <c r="Q13" s="596" t="s">
        <v>122</v>
      </c>
      <c r="R13" s="457" t="s">
        <v>442</v>
      </c>
      <c r="S13" s="457" t="s">
        <v>563</v>
      </c>
      <c r="T13" s="569" t="s">
        <v>564</v>
      </c>
      <c r="U13" s="569"/>
      <c r="V13" s="569" t="s">
        <v>562</v>
      </c>
      <c r="W13" s="570"/>
      <c r="X13" s="238"/>
      <c r="Y13" s="246"/>
      <c r="Z13" s="360" t="s">
        <v>570</v>
      </c>
      <c r="AA13" s="361"/>
      <c r="AB13" s="365">
        <f>IF($AB$10="Yes",MAX(AB6,$AB$9),AB6)/AB6</f>
        <v>1</v>
      </c>
      <c r="AC13" s="246"/>
      <c r="AD13" s="246"/>
      <c r="AE13" s="246"/>
      <c r="AF13" s="246"/>
      <c r="AG13" s="246"/>
      <c r="AH13" s="246"/>
      <c r="AI13" s="246"/>
      <c r="AJ13" s="246"/>
      <c r="AK13" s="246"/>
      <c r="AL13" s="246"/>
      <c r="AM13" s="246"/>
      <c r="AN13" s="246"/>
      <c r="AO13" s="246"/>
      <c r="AP13" s="246"/>
      <c r="AQ13" s="246"/>
      <c r="AS13" s="232">
        <f t="shared" si="1"/>
        <v>9</v>
      </c>
      <c r="AT13" s="278">
        <f>IF(ISNUMBER(AS13),AW12,0)</f>
        <v>106.38297872340425</v>
      </c>
      <c r="AU13" s="278"/>
      <c r="AV13" s="278">
        <f t="shared" si="2"/>
        <v>15.957446808510637</v>
      </c>
      <c r="AW13" s="278">
        <f t="shared" si="6"/>
        <v>106.38297872340425</v>
      </c>
      <c r="AX13" s="232">
        <f t="shared" si="3"/>
        <v>15.957446808510637</v>
      </c>
      <c r="AY13" s="279">
        <f t="shared" si="0"/>
        <v>5.4308655312616416E-2</v>
      </c>
      <c r="AZ13" s="232">
        <f t="shared" si="4"/>
        <v>3.5007843442311587E-2</v>
      </c>
      <c r="BA13" s="232"/>
    </row>
    <row r="14" spans="1:54" ht="21" customHeight="1" thickBot="1" x14ac:dyDescent="0.25">
      <c r="A14" s="246"/>
      <c r="B14" s="597" t="s">
        <v>366</v>
      </c>
      <c r="C14" s="598" t="s">
        <v>529</v>
      </c>
      <c r="D14" s="600">
        <v>20</v>
      </c>
      <c r="E14" s="235"/>
      <c r="F14" s="598" t="s">
        <v>530</v>
      </c>
      <c r="G14" s="681">
        <v>1.7608179999999999E-3</v>
      </c>
      <c r="H14" s="238"/>
      <c r="I14" s="295" t="s">
        <v>539</v>
      </c>
      <c r="J14" s="382">
        <v>1</v>
      </c>
      <c r="K14" s="316"/>
      <c r="L14" s="312" t="s">
        <v>400</v>
      </c>
      <c r="M14" s="313">
        <v>0.8</v>
      </c>
      <c r="N14" s="244"/>
      <c r="O14" s="238"/>
      <c r="P14" s="246"/>
      <c r="Q14" s="577"/>
      <c r="R14" s="462">
        <f>BA5</f>
        <v>0.79058209855213102</v>
      </c>
      <c r="S14" s="462">
        <f>AZ4</f>
        <v>0.31632022465180309</v>
      </c>
      <c r="T14" s="602">
        <f>R14+S14</f>
        <v>1.1069023232039341</v>
      </c>
      <c r="U14" s="602"/>
      <c r="V14" s="582">
        <f>T14/(Elie!Q37/Elie!D16)</f>
        <v>4.203572262599261E-3</v>
      </c>
      <c r="W14" s="603"/>
      <c r="X14" s="238"/>
      <c r="Y14" s="387"/>
      <c r="Z14" s="360" t="s">
        <v>560</v>
      </c>
      <c r="AA14" s="361"/>
      <c r="AB14" s="365">
        <f>IF($AB$10="Yes",MAX(AB7,$AB$9),AB7)/AB7</f>
        <v>1</v>
      </c>
      <c r="AC14" s="246"/>
      <c r="AD14" s="246"/>
      <c r="AE14" s="246"/>
      <c r="AF14" s="246"/>
      <c r="AG14" s="246"/>
      <c r="AH14" s="246"/>
      <c r="AI14" s="246"/>
      <c r="AJ14" s="246"/>
      <c r="AK14" s="246"/>
      <c r="AL14" s="246"/>
      <c r="AM14" s="246"/>
      <c r="AN14" s="246"/>
      <c r="AO14" s="246"/>
      <c r="AP14" s="246"/>
      <c r="AQ14" s="246"/>
      <c r="AS14" s="232">
        <f t="shared" si="1"/>
        <v>10</v>
      </c>
      <c r="AT14" s="278">
        <f t="shared" si="5"/>
        <v>106.38297872340425</v>
      </c>
      <c r="AU14" s="278"/>
      <c r="AV14" s="278">
        <f t="shared" si="2"/>
        <v>15.957446808510637</v>
      </c>
      <c r="AW14" s="278">
        <f t="shared" si="6"/>
        <v>106.38297872340425</v>
      </c>
      <c r="AX14" s="232">
        <f t="shared" si="3"/>
        <v>15.957446808510637</v>
      </c>
      <c r="AY14" s="279">
        <f t="shared" si="0"/>
        <v>5.4308655312616416E-2</v>
      </c>
      <c r="AZ14" s="232">
        <f t="shared" si="4"/>
        <v>3.3340803278391985E-2</v>
      </c>
      <c r="BA14" s="232"/>
    </row>
    <row r="15" spans="1:54" ht="21" customHeight="1" thickBot="1" x14ac:dyDescent="0.25">
      <c r="A15" s="246"/>
      <c r="B15" s="597"/>
      <c r="C15" s="599"/>
      <c r="D15" s="601"/>
      <c r="E15" s="235"/>
      <c r="F15" s="599"/>
      <c r="G15" s="682"/>
      <c r="H15" s="238"/>
      <c r="I15" s="300" t="s">
        <v>538</v>
      </c>
      <c r="J15" s="383">
        <v>0.75</v>
      </c>
      <c r="K15" s="316"/>
      <c r="L15" s="322" t="s">
        <v>403</v>
      </c>
      <c r="M15" s="337">
        <v>3.5999999999999997E-2</v>
      </c>
      <c r="N15" s="244"/>
      <c r="O15" s="238"/>
      <c r="P15" s="246"/>
      <c r="Q15" s="463" t="s">
        <v>129</v>
      </c>
      <c r="R15" s="415"/>
      <c r="S15" s="465" t="s">
        <v>561</v>
      </c>
      <c r="T15" s="604" t="s">
        <v>560</v>
      </c>
      <c r="U15" s="605"/>
      <c r="V15" s="465" t="s">
        <v>566</v>
      </c>
      <c r="W15" s="430" t="s">
        <v>576</v>
      </c>
      <c r="X15" s="238"/>
      <c r="Y15" s="387"/>
      <c r="Z15" s="366" t="s">
        <v>566</v>
      </c>
      <c r="AA15" s="367"/>
      <c r="AB15" s="368">
        <f>IF($AB$10="Yes",MAX(AB8,$AB$9),AB8)/AB8</f>
        <v>1</v>
      </c>
      <c r="AC15" s="246"/>
      <c r="AD15" s="246"/>
      <c r="AE15" s="246"/>
      <c r="AF15" s="246"/>
      <c r="AG15" s="246"/>
      <c r="AH15" s="246"/>
      <c r="AI15" s="246"/>
      <c r="AJ15" s="246"/>
      <c r="AK15" s="246"/>
      <c r="AL15" s="246"/>
      <c r="AM15" s="246"/>
      <c r="AN15" s="246"/>
      <c r="AO15" s="246"/>
      <c r="AP15" s="246"/>
      <c r="AQ15" s="246"/>
      <c r="AS15" s="232">
        <f t="shared" si="1"/>
        <v>11</v>
      </c>
      <c r="AT15" s="278">
        <f t="shared" si="5"/>
        <v>106.38297872340425</v>
      </c>
      <c r="AU15" s="278"/>
      <c r="AV15" s="278">
        <f t="shared" si="2"/>
        <v>15.957446808510637</v>
      </c>
      <c r="AW15" s="278">
        <f t="shared" si="6"/>
        <v>106.38297872340425</v>
      </c>
      <c r="AX15" s="232">
        <f>IF(ISNUMBER(AS16),SUM(AU15:AV15),SUM(AU15:AW15))</f>
        <v>15.957446808510637</v>
      </c>
      <c r="AY15" s="279">
        <f t="shared" si="0"/>
        <v>5.4308655312616416E-2</v>
      </c>
      <c r="AZ15" s="232">
        <f t="shared" si="4"/>
        <v>3.1753145979420937E-2</v>
      </c>
      <c r="BA15" s="232"/>
    </row>
    <row r="16" spans="1:54" ht="21" customHeight="1" x14ac:dyDescent="0.2">
      <c r="A16" s="246"/>
      <c r="B16" s="597"/>
      <c r="C16" s="606" t="s">
        <v>547</v>
      </c>
      <c r="D16" s="608">
        <v>0.80800000000000005</v>
      </c>
      <c r="E16" s="235"/>
      <c r="F16" s="606" t="s">
        <v>345</v>
      </c>
      <c r="G16" s="610">
        <v>40</v>
      </c>
      <c r="H16" s="238"/>
      <c r="I16" s="296" t="s">
        <v>556</v>
      </c>
      <c r="J16" s="384">
        <f>(0.51+0.75)/2</f>
        <v>0.63</v>
      </c>
      <c r="K16" s="317"/>
      <c r="L16" s="238"/>
      <c r="M16" s="238"/>
      <c r="N16" s="244"/>
      <c r="O16" s="238"/>
      <c r="P16" s="246"/>
      <c r="Q16" s="459"/>
      <c r="R16" s="413" t="s">
        <v>126</v>
      </c>
      <c r="S16" s="490">
        <f>$T9/$T$9</f>
        <v>1</v>
      </c>
      <c r="T16" s="612">
        <f>$T9/$T$10</f>
        <v>0.87696388076709375</v>
      </c>
      <c r="U16" s="613"/>
      <c r="V16" s="490">
        <f>$T9/$T$11</f>
        <v>0.94291229156975387</v>
      </c>
      <c r="W16" s="491">
        <f>$T9/$V$14</f>
        <v>11.559225601615626</v>
      </c>
      <c r="X16" s="238"/>
      <c r="Y16" s="387"/>
      <c r="Z16" s="246"/>
      <c r="AA16" s="246"/>
      <c r="AB16" s="246"/>
      <c r="AC16" s="246"/>
      <c r="AD16" s="246"/>
      <c r="AE16" s="246"/>
      <c r="AF16" s="246"/>
      <c r="AG16" s="246"/>
      <c r="AH16" s="246"/>
      <c r="AI16" s="246"/>
      <c r="AJ16" s="246"/>
      <c r="AK16" s="246"/>
      <c r="AL16" s="246"/>
      <c r="AM16" s="246"/>
      <c r="AN16" s="246"/>
      <c r="AO16" s="246"/>
      <c r="AP16" s="246"/>
      <c r="AQ16" s="246"/>
      <c r="AS16" s="232">
        <f t="shared" si="1"/>
        <v>12</v>
      </c>
      <c r="AT16" s="278">
        <f t="shared" si="5"/>
        <v>106.38297872340425</v>
      </c>
      <c r="AU16" s="278"/>
      <c r="AV16" s="278">
        <f t="shared" si="2"/>
        <v>15.957446808510637</v>
      </c>
      <c r="AW16" s="278">
        <f t="shared" si="6"/>
        <v>106.38297872340425</v>
      </c>
      <c r="AX16" s="232">
        <f t="shared" ref="AX16:AX81" si="7">IF(ISNUMBER(AS17),SUM(AU16:AV16),SUM(AU16:AW16))</f>
        <v>15.957446808510637</v>
      </c>
      <c r="AY16" s="279">
        <f t="shared" si="0"/>
        <v>5.4308655312616416E-2</v>
      </c>
      <c r="AZ16" s="232">
        <f t="shared" si="4"/>
        <v>3.0241091408972326E-2</v>
      </c>
      <c r="BA16" s="232"/>
    </row>
    <row r="17" spans="1:54" ht="31.75" customHeight="1" x14ac:dyDescent="0.2">
      <c r="A17" s="246"/>
      <c r="B17" s="597"/>
      <c r="C17" s="607"/>
      <c r="D17" s="609"/>
      <c r="E17" s="235"/>
      <c r="F17" s="599"/>
      <c r="G17" s="611"/>
      <c r="H17" s="238"/>
      <c r="I17" s="297" t="s">
        <v>535</v>
      </c>
      <c r="J17" s="385">
        <f>(0.53+0.91)/2</f>
        <v>0.72</v>
      </c>
      <c r="K17" s="317"/>
      <c r="L17" s="614" t="s">
        <v>566</v>
      </c>
      <c r="M17" s="614"/>
      <c r="N17" s="244"/>
      <c r="O17" s="238"/>
      <c r="P17" s="246"/>
      <c r="Q17" s="459"/>
      <c r="R17" s="413" t="s">
        <v>127</v>
      </c>
      <c r="S17" s="490">
        <f>$T10/$T$9</f>
        <v>1.140297818338065</v>
      </c>
      <c r="T17" s="612">
        <f>$T10/$T$10</f>
        <v>1</v>
      </c>
      <c r="U17" s="613"/>
      <c r="V17" s="490">
        <f>$T10/$T$11</f>
        <v>1.0752008289611359</v>
      </c>
      <c r="W17" s="491">
        <f>$T10/$V$14</f>
        <v>13.180959735199806</v>
      </c>
      <c r="X17" s="238"/>
      <c r="Y17" s="387"/>
      <c r="Z17" s="246"/>
      <c r="AA17" s="246"/>
      <c r="AB17" s="246"/>
      <c r="AC17" s="246"/>
      <c r="AD17" s="246"/>
      <c r="AE17" s="246"/>
      <c r="AF17" s="246"/>
      <c r="AG17" s="246"/>
      <c r="AH17" s="246"/>
      <c r="AI17" s="246"/>
      <c r="AJ17" s="246"/>
      <c r="AK17" s="246"/>
      <c r="AL17" s="246"/>
      <c r="AM17" s="246"/>
      <c r="AN17" s="246"/>
      <c r="AO17" s="246"/>
      <c r="AP17" s="246"/>
      <c r="AQ17" s="246"/>
      <c r="AS17" s="232">
        <f>IF(AS16&lt;$D$14,AS16+1,"")</f>
        <v>13</v>
      </c>
      <c r="AT17" s="278">
        <f>IF(ISNUMBER(AS17),AW16,0)</f>
        <v>106.38297872340425</v>
      </c>
      <c r="AU17" s="278"/>
      <c r="AV17" s="278">
        <f t="shared" si="2"/>
        <v>15.957446808510637</v>
      </c>
      <c r="AW17" s="278">
        <f t="shared" si="6"/>
        <v>106.38297872340425</v>
      </c>
      <c r="AX17" s="232">
        <f>IF(ISNUMBER(AS18),SUM(AU17:AV17),SUM(AU17:AW17))</f>
        <v>15.957446808510637</v>
      </c>
      <c r="AY17" s="279">
        <f t="shared" si="0"/>
        <v>5.4308655312616416E-2</v>
      </c>
      <c r="AZ17" s="232">
        <f t="shared" si="4"/>
        <v>2.8801039437116496E-2</v>
      </c>
      <c r="BA17" s="232"/>
    </row>
    <row r="18" spans="1:54" ht="30.75" customHeight="1" x14ac:dyDescent="0.2">
      <c r="A18" s="246"/>
      <c r="B18" s="597"/>
      <c r="C18" s="238"/>
      <c r="D18" s="238"/>
      <c r="E18" s="235"/>
      <c r="F18" s="310" t="s">
        <v>372</v>
      </c>
      <c r="G18" s="443">
        <v>0.3</v>
      </c>
      <c r="H18" s="238"/>
      <c r="I18" s="307" t="s">
        <v>229</v>
      </c>
      <c r="J18" s="306">
        <v>1</v>
      </c>
      <c r="K18" s="316"/>
      <c r="L18" s="312" t="s">
        <v>78</v>
      </c>
      <c r="M18" s="505">
        <f>(1/AVERAGE(J8,J7))</f>
        <v>4.2356453295757603</v>
      </c>
      <c r="N18" s="244"/>
      <c r="O18" s="238"/>
      <c r="P18" s="238"/>
      <c r="Q18" s="459"/>
      <c r="R18" s="413" t="s">
        <v>128</v>
      </c>
      <c r="S18" s="490">
        <f>$T11/$T$9</f>
        <v>1.0605440282629117</v>
      </c>
      <c r="T18" s="612">
        <f>$T11/$T$10</f>
        <v>0.93005880674980945</v>
      </c>
      <c r="U18" s="613"/>
      <c r="V18" s="490">
        <f>$T11/$T$11</f>
        <v>1</v>
      </c>
      <c r="W18" s="491">
        <f>$T11/$V$14</f>
        <v>12.259067683137216</v>
      </c>
      <c r="X18" s="238"/>
      <c r="Y18" s="246"/>
      <c r="Z18" s="246"/>
      <c r="AA18" s="246"/>
      <c r="AB18" s="246"/>
      <c r="AC18" s="246"/>
      <c r="AD18" s="246"/>
      <c r="AE18" s="246"/>
      <c r="AF18" s="246"/>
      <c r="AG18" s="246"/>
      <c r="AH18" s="246"/>
      <c r="AI18" s="246"/>
      <c r="AJ18" s="246"/>
      <c r="AK18" s="246"/>
      <c r="AL18" s="246"/>
      <c r="AM18" s="246"/>
      <c r="AN18" s="246"/>
      <c r="AO18" s="246"/>
      <c r="AP18" s="246"/>
      <c r="AQ18" s="246"/>
      <c r="AS18" s="232">
        <f>IF(AS17&lt;$D$14,AS17+1,"")</f>
        <v>14</v>
      </c>
      <c r="AT18" s="278">
        <f>IF(ISNUMBER(AS18),AW17,0)</f>
        <v>106.38297872340425</v>
      </c>
      <c r="AU18" s="278"/>
      <c r="AV18" s="278">
        <f t="shared" si="2"/>
        <v>15.957446808510637</v>
      </c>
      <c r="AW18" s="278">
        <f t="shared" si="6"/>
        <v>106.38297872340425</v>
      </c>
      <c r="AX18" s="232">
        <f>IF(ISNUMBER(AS19),SUM(AU18:AV18),SUM(AU18:AW18))</f>
        <v>15.957446808510637</v>
      </c>
      <c r="AY18" s="279">
        <f t="shared" si="0"/>
        <v>5.4308655312616416E-2</v>
      </c>
      <c r="AZ18" s="232">
        <f t="shared" si="4"/>
        <v>2.7429561368682385E-2</v>
      </c>
      <c r="BA18" s="232"/>
    </row>
    <row r="19" spans="1:54" ht="21" customHeight="1" thickBot="1" x14ac:dyDescent="0.25">
      <c r="A19" s="246"/>
      <c r="B19" s="302"/>
      <c r="C19" s="239"/>
      <c r="D19" s="239"/>
      <c r="E19" s="239"/>
      <c r="F19" s="303"/>
      <c r="G19" s="304"/>
      <c r="H19" s="239"/>
      <c r="I19" s="239"/>
      <c r="J19" s="239"/>
      <c r="K19" s="239"/>
      <c r="L19" s="319"/>
      <c r="M19" s="239"/>
      <c r="N19" s="305"/>
      <c r="O19" s="238"/>
      <c r="P19" s="246"/>
      <c r="Q19" s="469"/>
      <c r="R19" s="414" t="s">
        <v>130</v>
      </c>
      <c r="S19" s="492">
        <f>$V14/$T$9</f>
        <v>8.6510985637327689E-2</v>
      </c>
      <c r="T19" s="615">
        <f>$V14/$T$10</f>
        <v>7.5867009693497203E-2</v>
      </c>
      <c r="U19" s="616"/>
      <c r="V19" s="492">
        <f>$V14/$T$11</f>
        <v>8.1572271713250724E-2</v>
      </c>
      <c r="W19" s="493">
        <f>$V14/$V$14</f>
        <v>1</v>
      </c>
      <c r="X19" s="238"/>
      <c r="Y19" s="246"/>
      <c r="Z19" s="246"/>
      <c r="AA19" s="246"/>
      <c r="AB19" s="246"/>
      <c r="AC19" s="246"/>
      <c r="AD19" s="246"/>
      <c r="AE19" s="246"/>
      <c r="AF19" s="246"/>
      <c r="AG19" s="246"/>
      <c r="AH19" s="246"/>
      <c r="AI19" s="246"/>
      <c r="AJ19" s="246"/>
      <c r="AK19" s="246"/>
      <c r="AL19" s="246"/>
      <c r="AM19" s="246"/>
      <c r="AN19" s="246"/>
      <c r="AO19" s="246"/>
      <c r="AP19" s="246"/>
      <c r="AQ19" s="246"/>
      <c r="AS19" s="232">
        <f>IF(AS18&lt;$D$14,AS18+1,"")</f>
        <v>15</v>
      </c>
      <c r="AT19" s="278">
        <f>IF(ISNUMBER(AS19),AW18,0)</f>
        <v>106.38297872340425</v>
      </c>
      <c r="AU19" s="278"/>
      <c r="AV19" s="278">
        <f t="shared" si="2"/>
        <v>15.957446808510637</v>
      </c>
      <c r="AW19" s="278">
        <f t="shared" si="6"/>
        <v>106.38297872340425</v>
      </c>
      <c r="AX19" s="232">
        <f t="shared" si="7"/>
        <v>15.957446808510637</v>
      </c>
      <c r="AY19" s="279">
        <f t="shared" si="0"/>
        <v>5.4308655312616416E-2</v>
      </c>
      <c r="AZ19" s="232">
        <f t="shared" si="4"/>
        <v>2.61233917796975E-2</v>
      </c>
      <c r="BA19" s="232"/>
    </row>
    <row r="20" spans="1:54" ht="9.75" customHeight="1" thickBot="1" x14ac:dyDescent="0.25">
      <c r="A20" s="246"/>
      <c r="B20" s="246"/>
      <c r="C20" s="246"/>
      <c r="D20" s="246"/>
      <c r="E20" s="246"/>
      <c r="F20" s="246"/>
      <c r="G20" s="246"/>
      <c r="H20" s="246"/>
      <c r="I20" s="246"/>
      <c r="J20" s="246"/>
      <c r="K20" s="246"/>
      <c r="L20" s="246"/>
      <c r="M20" s="246"/>
      <c r="N20" s="246"/>
      <c r="O20" s="246"/>
      <c r="P20" s="246"/>
      <c r="Q20" s="238"/>
      <c r="R20" s="238"/>
      <c r="S20" s="238"/>
      <c r="T20" s="238"/>
      <c r="U20" s="238"/>
      <c r="V20" s="238"/>
      <c r="W20" s="238"/>
      <c r="Y20" s="246"/>
      <c r="Z20" s="246"/>
      <c r="AA20" s="246"/>
      <c r="AB20" s="246"/>
      <c r="AC20" s="246"/>
      <c r="AD20" s="246"/>
      <c r="AE20" s="246"/>
      <c r="AF20" s="246"/>
      <c r="AG20" s="246"/>
      <c r="AH20" s="246"/>
      <c r="AI20" s="246"/>
      <c r="AJ20" s="246"/>
      <c r="AK20" s="246"/>
      <c r="AL20" s="246"/>
      <c r="AM20" s="246"/>
      <c r="AN20" s="246"/>
      <c r="AO20" s="246"/>
      <c r="AP20" s="246"/>
      <c r="AQ20" s="246"/>
      <c r="AS20" s="232">
        <f t="shared" si="1"/>
        <v>16</v>
      </c>
      <c r="AT20" s="278">
        <f t="shared" si="5"/>
        <v>106.38297872340425</v>
      </c>
      <c r="AU20" s="278"/>
      <c r="AV20" s="278">
        <f t="shared" si="2"/>
        <v>15.957446808510637</v>
      </c>
      <c r="AW20" s="278">
        <f t="shared" si="6"/>
        <v>106.38297872340425</v>
      </c>
      <c r="AX20" s="232">
        <f>IF(ISNUMBER(AS21),SUM(AU20:AV20),SUM(AU20:AW20))</f>
        <v>15.957446808510637</v>
      </c>
      <c r="AY20" s="279">
        <f t="shared" si="0"/>
        <v>5.4308655312616416E-2</v>
      </c>
      <c r="AZ20" s="232">
        <f t="shared" si="4"/>
        <v>2.4879420742569051E-2</v>
      </c>
      <c r="BA20" s="232"/>
    </row>
    <row r="21" spans="1:54" ht="10.5" customHeight="1" x14ac:dyDescent="0.2">
      <c r="A21" s="246"/>
      <c r="B21" s="246"/>
      <c r="C21" s="246"/>
      <c r="D21" s="246"/>
      <c r="E21" s="238"/>
      <c r="F21" s="617" t="s">
        <v>562</v>
      </c>
      <c r="G21" s="257" t="s">
        <v>561</v>
      </c>
      <c r="H21" s="258"/>
      <c r="I21" s="487">
        <f>T9</f>
        <v>4.8590040116078703E-2</v>
      </c>
      <c r="J21" s="259"/>
      <c r="K21" s="260"/>
      <c r="L21" s="263"/>
      <c r="M21" s="263"/>
      <c r="N21" s="263"/>
      <c r="O21" s="263"/>
      <c r="P21" s="238"/>
      <c r="Q21" s="557" t="s">
        <v>285</v>
      </c>
      <c r="R21" s="621" t="s">
        <v>243</v>
      </c>
      <c r="S21" s="622"/>
      <c r="T21" s="355"/>
      <c r="U21" s="625" t="s">
        <v>281</v>
      </c>
      <c r="V21" s="625"/>
      <c r="W21" s="626"/>
      <c r="Y21" s="246"/>
      <c r="Z21" s="246"/>
      <c r="AA21" s="246"/>
      <c r="AB21" s="246"/>
      <c r="AC21" s="246"/>
      <c r="AD21" s="246"/>
      <c r="AE21" s="246"/>
      <c r="AF21" s="246"/>
      <c r="AG21" s="246"/>
      <c r="AH21" s="246"/>
      <c r="AI21" s="246"/>
      <c r="AJ21" s="246"/>
      <c r="AK21" s="246"/>
      <c r="AL21" s="246"/>
      <c r="AM21" s="246"/>
      <c r="AN21" s="246"/>
      <c r="AO21" s="246"/>
      <c r="AP21" s="246"/>
      <c r="AQ21" s="246"/>
      <c r="AS21" s="232">
        <f>IF(AS20&lt;$D$14,AS20+1,"")</f>
        <v>17</v>
      </c>
      <c r="AT21" s="278">
        <f>IF(ISNUMBER(AS21),AW20,0)</f>
        <v>106.38297872340425</v>
      </c>
      <c r="AU21" s="278"/>
      <c r="AV21" s="278">
        <f t="shared" si="2"/>
        <v>15.957446808510637</v>
      </c>
      <c r="AW21" s="278">
        <f t="shared" si="6"/>
        <v>106.38297872340425</v>
      </c>
      <c r="AX21" s="232">
        <f t="shared" si="7"/>
        <v>15.957446808510637</v>
      </c>
      <c r="AY21" s="279">
        <f t="shared" si="0"/>
        <v>5.4308655312616416E-2</v>
      </c>
      <c r="AZ21" s="232">
        <f t="shared" si="4"/>
        <v>2.3694686421494329E-2</v>
      </c>
      <c r="BA21" s="232"/>
    </row>
    <row r="22" spans="1:54" ht="12" customHeight="1" thickBot="1" x14ac:dyDescent="0.25">
      <c r="A22" s="246"/>
      <c r="B22" s="246"/>
      <c r="C22" s="246"/>
      <c r="D22" s="246"/>
      <c r="E22" s="238"/>
      <c r="F22" s="618"/>
      <c r="G22" s="261" t="s">
        <v>560</v>
      </c>
      <c r="H22" s="262"/>
      <c r="I22" s="488">
        <f>T10</f>
        <v>5.5407116737323604E-2</v>
      </c>
      <c r="J22" s="263"/>
      <c r="K22" s="264"/>
      <c r="L22" s="263"/>
      <c r="M22" s="263"/>
      <c r="N22" s="263"/>
      <c r="O22" s="263"/>
      <c r="P22" s="238"/>
      <c r="Q22" s="619"/>
      <c r="R22" s="623"/>
      <c r="S22" s="624"/>
      <c r="T22" s="356"/>
      <c r="U22" s="627"/>
      <c r="V22" s="627"/>
      <c r="W22" s="628"/>
      <c r="Y22" s="246"/>
      <c r="Z22" s="246"/>
      <c r="AA22" s="246"/>
      <c r="AB22" s="246"/>
      <c r="AC22" s="246"/>
      <c r="AD22" s="246"/>
      <c r="AE22" s="246"/>
      <c r="AF22" s="246"/>
      <c r="AG22" s="246"/>
      <c r="AH22" s="246"/>
      <c r="AI22" s="246"/>
      <c r="AJ22" s="246"/>
      <c r="AK22" s="246"/>
      <c r="AL22" s="246"/>
      <c r="AM22" s="246"/>
      <c r="AN22" s="246"/>
      <c r="AO22" s="246"/>
      <c r="AP22" s="246"/>
      <c r="AQ22" s="246"/>
      <c r="AS22" s="232">
        <f t="shared" si="1"/>
        <v>18</v>
      </c>
      <c r="AT22" s="278">
        <f t="shared" si="5"/>
        <v>106.38297872340425</v>
      </c>
      <c r="AU22" s="278"/>
      <c r="AV22" s="278">
        <f t="shared" si="2"/>
        <v>15.957446808510637</v>
      </c>
      <c r="AW22" s="278">
        <f t="shared" si="6"/>
        <v>106.38297872340425</v>
      </c>
      <c r="AX22" s="232">
        <f t="shared" si="7"/>
        <v>15.957446808510637</v>
      </c>
      <c r="AY22" s="279">
        <f t="shared" si="0"/>
        <v>5.4308655312616416E-2</v>
      </c>
      <c r="AZ22" s="232">
        <f t="shared" si="4"/>
        <v>2.2566368020470792E-2</v>
      </c>
      <c r="BA22" s="232"/>
    </row>
    <row r="23" spans="1:54" ht="10.75" customHeight="1" x14ac:dyDescent="0.2">
      <c r="A23" s="246"/>
      <c r="B23" s="565" t="s">
        <v>410</v>
      </c>
      <c r="C23" s="637"/>
      <c r="D23" s="637"/>
      <c r="E23" s="637"/>
      <c r="F23" s="618"/>
      <c r="G23" s="261" t="s">
        <v>390</v>
      </c>
      <c r="H23" s="262"/>
      <c r="I23" s="488">
        <f>T12</f>
        <v>1.9522516229390954E-2</v>
      </c>
      <c r="J23" s="263"/>
      <c r="K23" s="264"/>
      <c r="L23" s="263"/>
      <c r="M23" s="263"/>
      <c r="N23" s="263"/>
      <c r="O23" s="263"/>
      <c r="P23" s="238"/>
      <c r="Q23" s="619"/>
      <c r="R23" s="347" t="s">
        <v>566</v>
      </c>
      <c r="S23" s="494">
        <f>(R37/S37)*T5</f>
        <v>155.38897958986038</v>
      </c>
      <c r="T23" s="495"/>
      <c r="U23" s="496"/>
      <c r="V23" s="496"/>
      <c r="W23" s="497"/>
      <c r="Y23" s="246"/>
      <c r="Z23" s="246"/>
      <c r="AA23" s="246"/>
      <c r="AB23" s="246"/>
      <c r="AC23" s="246"/>
      <c r="AD23" s="246"/>
      <c r="AE23" s="246"/>
      <c r="AF23" s="246"/>
      <c r="AG23" s="246"/>
      <c r="AH23" s="246"/>
      <c r="AI23" s="246"/>
      <c r="AJ23" s="246"/>
      <c r="AK23" s="246"/>
      <c r="AL23" s="246"/>
      <c r="AM23" s="246"/>
      <c r="AN23" s="246"/>
      <c r="AO23" s="246"/>
      <c r="AP23" s="246"/>
      <c r="AQ23" s="246"/>
      <c r="AS23" s="232">
        <f t="shared" si="1"/>
        <v>19</v>
      </c>
      <c r="AT23" s="278">
        <f t="shared" si="5"/>
        <v>106.38297872340425</v>
      </c>
      <c r="AU23" s="278"/>
      <c r="AV23" s="278">
        <f t="shared" si="2"/>
        <v>15.957446808510637</v>
      </c>
      <c r="AW23" s="278">
        <f t="shared" si="6"/>
        <v>106.38297872340425</v>
      </c>
      <c r="AX23" s="232">
        <f t="shared" si="7"/>
        <v>15.957446808510637</v>
      </c>
      <c r="AY23" s="279">
        <f t="shared" si="0"/>
        <v>5.4308655312616416E-2</v>
      </c>
      <c r="AZ23" s="232">
        <f t="shared" si="4"/>
        <v>2.1491779067115038E-2</v>
      </c>
      <c r="BA23" s="232"/>
    </row>
    <row r="24" spans="1:54" ht="12.75" customHeight="1" x14ac:dyDescent="0.2">
      <c r="A24" s="246"/>
      <c r="B24" s="638"/>
      <c r="C24" s="639"/>
      <c r="D24" s="639"/>
      <c r="E24" s="639"/>
      <c r="F24" s="618"/>
      <c r="G24" s="261" t="s">
        <v>542</v>
      </c>
      <c r="H24" s="262"/>
      <c r="I24" s="488">
        <f>V14</f>
        <v>4.203572262599261E-3</v>
      </c>
      <c r="J24" s="263"/>
      <c r="K24" s="264"/>
      <c r="L24" s="263"/>
      <c r="M24" s="263"/>
      <c r="N24" s="263"/>
      <c r="O24" s="263"/>
      <c r="P24" s="238"/>
      <c r="Q24" s="619"/>
      <c r="R24" s="347" t="s">
        <v>570</v>
      </c>
      <c r="S24" s="494">
        <f>T9*$R$37</f>
        <v>137.91131583204219</v>
      </c>
      <c r="T24" s="495"/>
      <c r="U24" s="496" t="s">
        <v>570</v>
      </c>
      <c r="V24" s="496"/>
      <c r="W24" s="497">
        <f>S24/S$23</f>
        <v>0.88752314479476335</v>
      </c>
      <c r="Y24" s="246"/>
      <c r="Z24" s="246"/>
      <c r="AA24" s="246"/>
      <c r="AB24" s="246"/>
      <c r="AC24" s="246"/>
      <c r="AD24" s="246"/>
      <c r="AE24" s="246"/>
      <c r="AF24" s="246"/>
      <c r="AG24" s="246"/>
      <c r="AH24" s="246"/>
      <c r="AI24" s="246"/>
      <c r="AJ24" s="246"/>
      <c r="AK24" s="246"/>
      <c r="AL24" s="246"/>
      <c r="AM24" s="246"/>
      <c r="AN24" s="246"/>
      <c r="AO24" s="246"/>
      <c r="AP24" s="246"/>
      <c r="AQ24" s="246"/>
      <c r="AS24" s="232">
        <f t="shared" si="1"/>
        <v>20</v>
      </c>
      <c r="AT24" s="278">
        <f t="shared" si="5"/>
        <v>106.38297872340425</v>
      </c>
      <c r="AU24" s="278"/>
      <c r="AV24" s="278">
        <f t="shared" si="2"/>
        <v>15.957446808510637</v>
      </c>
      <c r="AW24" s="278">
        <f t="shared" si="6"/>
        <v>106.38297872340425</v>
      </c>
      <c r="AX24" s="232">
        <f>IF(ISNUMBER(AS25),SUM(AU24:AV24),SUM(AU24:AW24))</f>
        <v>122.34042553191489</v>
      </c>
      <c r="AY24" s="279">
        <f t="shared" si="0"/>
        <v>0.35619081917268502</v>
      </c>
      <c r="AZ24" s="232">
        <f t="shared" si="4"/>
        <v>0.13424457364210374</v>
      </c>
      <c r="BA24" s="232"/>
    </row>
    <row r="25" spans="1:54" ht="14.5" customHeight="1" thickBot="1" x14ac:dyDescent="0.25">
      <c r="A25" s="246"/>
      <c r="B25" s="638"/>
      <c r="C25" s="639"/>
      <c r="D25" s="639"/>
      <c r="E25" s="639"/>
      <c r="F25" s="265" t="s">
        <v>574</v>
      </c>
      <c r="G25" s="266"/>
      <c r="H25" s="266"/>
      <c r="I25" s="267">
        <f>V14*J37</f>
        <v>1.2018949995414399</v>
      </c>
      <c r="J25" s="263"/>
      <c r="K25" s="264"/>
      <c r="L25" s="263"/>
      <c r="M25" s="263"/>
      <c r="N25" s="263"/>
      <c r="O25" s="263"/>
      <c r="P25" s="238"/>
      <c r="Q25" s="620"/>
      <c r="R25" s="347" t="s">
        <v>560</v>
      </c>
      <c r="S25" s="494">
        <f>T10*$R$37</f>
        <v>157.25997256740956</v>
      </c>
      <c r="T25" s="495"/>
      <c r="U25" s="496" t="s">
        <v>560</v>
      </c>
      <c r="V25" s="496"/>
      <c r="W25" s="497">
        <f>S25/S$23</f>
        <v>1.0120407057340073</v>
      </c>
      <c r="Y25" s="246"/>
      <c r="Z25" s="246"/>
      <c r="AA25" s="246"/>
      <c r="AB25" s="246"/>
      <c r="AC25" s="246"/>
      <c r="AD25" s="246"/>
      <c r="AE25" s="246"/>
      <c r="AF25" s="246"/>
      <c r="AG25" s="246"/>
      <c r="AH25" s="246"/>
      <c r="AI25" s="246"/>
      <c r="AJ25" s="246"/>
      <c r="AK25" s="246"/>
      <c r="AL25" s="246"/>
      <c r="AM25" s="246"/>
      <c r="AN25" s="246"/>
      <c r="AO25" s="246"/>
      <c r="AP25" s="246"/>
      <c r="AQ25" s="246"/>
      <c r="AS25" s="232" t="str">
        <f>IF(AS24&lt;$D$14,AS24+1,"")</f>
        <v/>
      </c>
      <c r="AT25" s="278">
        <f>IF(ISNUMBER(AS25),AW24,0)</f>
        <v>0</v>
      </c>
      <c r="AU25" s="278"/>
      <c r="AV25" s="278">
        <f t="shared" si="2"/>
        <v>0</v>
      </c>
      <c r="AW25" s="278">
        <f t="shared" si="6"/>
        <v>0</v>
      </c>
      <c r="AX25" s="232">
        <f t="shared" si="7"/>
        <v>0</v>
      </c>
      <c r="AY25" s="279">
        <f t="shared" si="0"/>
        <v>0</v>
      </c>
      <c r="AZ25" s="232">
        <f t="shared" si="4"/>
        <v>0</v>
      </c>
      <c r="BA25" s="232"/>
    </row>
    <row r="26" spans="1:54" ht="12" customHeight="1" thickBot="1" x14ac:dyDescent="0.25">
      <c r="A26" s="246"/>
      <c r="B26" s="567"/>
      <c r="C26" s="640"/>
      <c r="D26" s="640"/>
      <c r="E26" s="640"/>
      <c r="F26" s="247"/>
      <c r="G26" s="238"/>
      <c r="H26" s="238"/>
      <c r="I26" s="238"/>
      <c r="J26" s="238"/>
      <c r="K26" s="244"/>
      <c r="L26" s="238"/>
      <c r="M26" s="238"/>
      <c r="N26" s="238"/>
      <c r="O26" s="263"/>
      <c r="P26" s="238"/>
      <c r="Q26" s="238"/>
      <c r="R26" s="347" t="s">
        <v>390</v>
      </c>
      <c r="S26" s="494">
        <f>T12*$R$37</f>
        <v>55.410036606592222</v>
      </c>
      <c r="T26" s="495"/>
      <c r="U26" s="496" t="s">
        <v>390</v>
      </c>
      <c r="V26" s="496"/>
      <c r="W26" s="497">
        <f>S26/S$23</f>
        <v>0.35658923015546912</v>
      </c>
      <c r="Y26" s="246"/>
      <c r="Z26" s="246"/>
      <c r="AA26" s="246"/>
      <c r="AB26" s="246"/>
      <c r="AC26" s="246"/>
      <c r="AD26" s="246"/>
      <c r="AE26" s="246"/>
      <c r="AF26" s="246"/>
      <c r="AG26" s="246"/>
      <c r="AH26" s="246"/>
      <c r="AI26" s="246"/>
      <c r="AJ26" s="246"/>
      <c r="AK26" s="246"/>
      <c r="AL26" s="246"/>
      <c r="AM26" s="246"/>
      <c r="AN26" s="246"/>
      <c r="AO26" s="246"/>
      <c r="AP26" s="246"/>
      <c r="AQ26" s="246"/>
      <c r="AS26" s="232" t="str">
        <f t="shared" si="1"/>
        <v/>
      </c>
      <c r="AT26" s="278">
        <f t="shared" si="5"/>
        <v>0</v>
      </c>
      <c r="AU26" s="278"/>
      <c r="AV26" s="278">
        <f t="shared" si="2"/>
        <v>0</v>
      </c>
      <c r="AW26" s="278">
        <f t="shared" si="6"/>
        <v>0</v>
      </c>
      <c r="AX26" s="232">
        <f t="shared" si="7"/>
        <v>0</v>
      </c>
      <c r="AY26" s="279">
        <f t="shared" si="0"/>
        <v>0</v>
      </c>
      <c r="AZ26" s="232">
        <f t="shared" si="4"/>
        <v>0</v>
      </c>
      <c r="BA26" s="232"/>
    </row>
    <row r="27" spans="1:54" ht="12.75" customHeight="1" x14ac:dyDescent="0.2">
      <c r="A27" s="246"/>
      <c r="B27" s="246"/>
      <c r="C27" s="246"/>
      <c r="D27" s="246"/>
      <c r="E27" s="238"/>
      <c r="F27" s="268" t="s">
        <v>282</v>
      </c>
      <c r="G27" s="489">
        <f>I21/I$24</f>
        <v>11.559225601615626</v>
      </c>
      <c r="H27" s="269" t="s">
        <v>568</v>
      </c>
      <c r="I27" s="266"/>
      <c r="J27" s="266"/>
      <c r="K27" s="270"/>
      <c r="L27" s="238"/>
      <c r="M27" s="238"/>
      <c r="N27" s="238"/>
      <c r="O27" s="263"/>
      <c r="P27" s="238"/>
      <c r="R27" s="347" t="s">
        <v>542</v>
      </c>
      <c r="S27" s="494">
        <f>V14*$R$37</f>
        <v>11.930843863170766</v>
      </c>
      <c r="T27" s="495"/>
      <c r="U27" s="496" t="s">
        <v>542</v>
      </c>
      <c r="V27" s="496"/>
      <c r="W27" s="497">
        <f>S27/S$23</f>
        <v>7.6780502032135683E-2</v>
      </c>
      <c r="Y27" s="246"/>
      <c r="Z27" s="246"/>
      <c r="AA27" s="246"/>
      <c r="AB27" s="246"/>
      <c r="AC27" s="246"/>
      <c r="AD27" s="246"/>
      <c r="AE27" s="246"/>
      <c r="AF27" s="246"/>
      <c r="AG27" s="246"/>
      <c r="AH27" s="246"/>
      <c r="AI27" s="246"/>
      <c r="AJ27" s="246"/>
      <c r="AK27" s="246"/>
      <c r="AL27" s="246"/>
      <c r="AM27" s="246"/>
      <c r="AN27" s="246"/>
      <c r="AO27" s="246"/>
      <c r="AP27" s="246"/>
      <c r="AQ27" s="246"/>
      <c r="AS27" s="232" t="str">
        <f t="shared" si="1"/>
        <v/>
      </c>
      <c r="AT27" s="278">
        <f t="shared" si="5"/>
        <v>0</v>
      </c>
      <c r="AU27" s="278"/>
      <c r="AV27" s="278">
        <f t="shared" si="2"/>
        <v>0</v>
      </c>
      <c r="AW27" s="278">
        <f t="shared" si="6"/>
        <v>0</v>
      </c>
      <c r="AX27" s="232">
        <f t="shared" si="7"/>
        <v>0</v>
      </c>
      <c r="AY27" s="279">
        <f t="shared" si="0"/>
        <v>0</v>
      </c>
      <c r="AZ27" s="232">
        <f t="shared" si="4"/>
        <v>0</v>
      </c>
      <c r="BA27" s="288"/>
      <c r="BB27" s="246"/>
    </row>
    <row r="28" spans="1:54" s="246" customFormat="1" ht="14.5" customHeight="1" x14ac:dyDescent="0.2">
      <c r="E28" s="238"/>
      <c r="F28" s="268" t="s">
        <v>569</v>
      </c>
      <c r="G28" s="489">
        <f>I22/I$24</f>
        <v>13.180959735199806</v>
      </c>
      <c r="H28" s="269" t="s">
        <v>568</v>
      </c>
      <c r="I28" s="266"/>
      <c r="J28" s="266"/>
      <c r="K28" s="270"/>
      <c r="L28" s="238"/>
      <c r="M28" s="238"/>
      <c r="N28" s="238"/>
      <c r="O28" s="263"/>
      <c r="P28" s="238"/>
      <c r="R28" s="345" t="s">
        <v>247</v>
      </c>
      <c r="S28" s="498"/>
      <c r="T28" s="495"/>
      <c r="U28" s="495"/>
      <c r="V28" s="495"/>
      <c r="W28" s="499" t="s">
        <v>280</v>
      </c>
      <c r="AS28" s="232" t="str">
        <f t="shared" si="1"/>
        <v/>
      </c>
      <c r="AT28" s="278">
        <f t="shared" si="5"/>
        <v>0</v>
      </c>
      <c r="AU28" s="278"/>
      <c r="AV28" s="278">
        <f t="shared" si="2"/>
        <v>0</v>
      </c>
      <c r="AW28" s="278">
        <f t="shared" si="6"/>
        <v>0</v>
      </c>
      <c r="AX28" s="232">
        <f>IF(ISNUMBER(AS29),SUM(AU28:AV28),SUM(AU28:AW28))</f>
        <v>0</v>
      </c>
      <c r="AY28" s="279">
        <f t="shared" si="0"/>
        <v>0</v>
      </c>
      <c r="AZ28" s="232">
        <f t="shared" si="4"/>
        <v>0</v>
      </c>
      <c r="BA28" s="232"/>
      <c r="BB28" s="233"/>
    </row>
    <row r="29" spans="1:54" ht="13.75" customHeight="1" x14ac:dyDescent="0.2">
      <c r="A29" s="246"/>
      <c r="B29" s="246"/>
      <c r="C29" s="246"/>
      <c r="D29" s="246"/>
      <c r="E29" s="238"/>
      <c r="F29" s="268" t="s">
        <v>407</v>
      </c>
      <c r="G29" s="489">
        <f>I23/I$24</f>
        <v>4.644268020105188</v>
      </c>
      <c r="H29" s="269" t="s">
        <v>568</v>
      </c>
      <c r="I29" s="266"/>
      <c r="J29" s="266"/>
      <c r="K29" s="270"/>
      <c r="L29" s="238"/>
      <c r="M29" s="238"/>
      <c r="N29" s="238"/>
      <c r="O29" s="263"/>
      <c r="P29" s="238"/>
      <c r="Q29" s="344"/>
      <c r="R29" s="346" t="s">
        <v>570</v>
      </c>
      <c r="S29" s="494" t="str">
        <f>IFERROR(IF(S24-S$23&gt;0,S24-S$23,"N/A"),"N/A")</f>
        <v>N/A</v>
      </c>
      <c r="T29" s="500"/>
      <c r="U29" s="496"/>
      <c r="V29" s="496"/>
      <c r="W29" s="501" t="str">
        <f>IF(AND(S29&lt;&gt;"N/A",S29&gt;=$W$33),R29,"Bednets")</f>
        <v>Bednets</v>
      </c>
      <c r="Y29" s="246"/>
      <c r="Z29" s="246"/>
      <c r="AA29" s="246"/>
      <c r="AB29" s="246"/>
      <c r="AC29" s="246"/>
      <c r="AD29" s="246"/>
      <c r="AE29" s="246"/>
      <c r="AF29" s="246"/>
      <c r="AG29" s="246"/>
      <c r="AH29" s="246"/>
      <c r="AI29" s="246"/>
      <c r="AJ29" s="246"/>
      <c r="AK29" s="246"/>
      <c r="AL29" s="246"/>
      <c r="AM29" s="246"/>
      <c r="AN29" s="246"/>
      <c r="AO29" s="246"/>
      <c r="AP29" s="246"/>
      <c r="AQ29" s="246"/>
      <c r="AS29" s="232" t="str">
        <f>IF(AS28&lt;$D$14,AS28+1,"")</f>
        <v/>
      </c>
      <c r="AT29" s="278">
        <f>IF(ISNUMBER(AS29),AW28,0)</f>
        <v>0</v>
      </c>
      <c r="AU29" s="278"/>
      <c r="AV29" s="278">
        <f t="shared" si="2"/>
        <v>0</v>
      </c>
      <c r="AW29" s="278">
        <f t="shared" si="6"/>
        <v>0</v>
      </c>
      <c r="AX29" s="232">
        <f t="shared" si="7"/>
        <v>0</v>
      </c>
      <c r="AY29" s="279">
        <f t="shared" si="0"/>
        <v>0</v>
      </c>
      <c r="AZ29" s="232">
        <f t="shared" si="4"/>
        <v>0</v>
      </c>
      <c r="BA29" s="232"/>
    </row>
    <row r="30" spans="1:54" ht="13.5" customHeight="1" x14ac:dyDescent="0.2">
      <c r="A30" s="246"/>
      <c r="B30" s="246"/>
      <c r="C30" s="246"/>
      <c r="D30" s="246"/>
      <c r="E30" s="238"/>
      <c r="F30" s="247"/>
      <c r="G30" s="238"/>
      <c r="H30" s="238"/>
      <c r="I30" s="238"/>
      <c r="J30" s="263"/>
      <c r="K30" s="264"/>
      <c r="L30" s="238"/>
      <c r="M30" s="238"/>
      <c r="N30" s="238"/>
      <c r="O30" s="263"/>
      <c r="P30" s="238"/>
      <c r="Q30" s="344"/>
      <c r="R30" s="346" t="s">
        <v>560</v>
      </c>
      <c r="S30" s="494">
        <f>IFERROR(IF(S25-S$23&gt;0,S25-S$23,"N/A"),"N/A")</f>
        <v>1.8709929775491787</v>
      </c>
      <c r="T30" s="500"/>
      <c r="U30" s="496"/>
      <c r="V30" s="496"/>
      <c r="W30" s="501" t="str">
        <f>IF(AND(S30&lt;&gt;"N/A",S30&gt;=$W$33),R30,"Bednets")</f>
        <v>Bednets</v>
      </c>
      <c r="Y30" s="246"/>
      <c r="Z30" s="246"/>
      <c r="AA30" s="246"/>
      <c r="AB30" s="246"/>
      <c r="AC30" s="246"/>
      <c r="AD30" s="246"/>
      <c r="AE30" s="246"/>
      <c r="AF30" s="246"/>
      <c r="AG30" s="246"/>
      <c r="AH30" s="246"/>
      <c r="AI30" s="246"/>
      <c r="AJ30" s="246"/>
      <c r="AK30" s="246"/>
      <c r="AL30" s="246"/>
      <c r="AM30" s="246"/>
      <c r="AN30" s="246"/>
      <c r="AO30" s="246"/>
      <c r="AP30" s="246"/>
      <c r="AQ30" s="246"/>
      <c r="AS30" s="232" t="str">
        <f t="shared" si="1"/>
        <v/>
      </c>
      <c r="AT30" s="278">
        <f t="shared" si="5"/>
        <v>0</v>
      </c>
      <c r="AU30" s="278"/>
      <c r="AV30" s="278">
        <f t="shared" si="2"/>
        <v>0</v>
      </c>
      <c r="AW30" s="278">
        <f t="shared" si="6"/>
        <v>0</v>
      </c>
      <c r="AX30" s="232">
        <f>IF(ISNUMBER(AS33),SUM(AU30:AV30),SUM(AU30:AW30))</f>
        <v>0</v>
      </c>
      <c r="AY30" s="279">
        <f t="shared" si="0"/>
        <v>0</v>
      </c>
      <c r="AZ30" s="232">
        <f t="shared" si="4"/>
        <v>0</v>
      </c>
      <c r="BA30" s="232"/>
    </row>
    <row r="31" spans="1:54" ht="13.5" customHeight="1" x14ac:dyDescent="0.2">
      <c r="A31" s="246"/>
      <c r="B31" s="246"/>
      <c r="C31" s="246"/>
      <c r="D31" s="246"/>
      <c r="E31" s="238"/>
      <c r="F31" s="618" t="s">
        <v>446</v>
      </c>
      <c r="G31" s="261" t="s">
        <v>570</v>
      </c>
      <c r="H31" s="262"/>
      <c r="I31" s="431">
        <f>V9</f>
        <v>2255.0917788549236</v>
      </c>
      <c r="J31" s="263">
        <f>$I$33/I31</f>
        <v>0.94291229156975387</v>
      </c>
      <c r="K31" s="264"/>
      <c r="L31" s="238"/>
      <c r="M31" s="238"/>
      <c r="N31" s="238"/>
      <c r="O31" s="263"/>
      <c r="P31" s="238"/>
      <c r="Q31" s="286"/>
      <c r="R31" s="346" t="s">
        <v>390</v>
      </c>
      <c r="S31" s="494" t="str">
        <f>IFERROR(IF(S26-S$23&gt;0,S26-S$23,"N/A"),"N/A")</f>
        <v>N/A</v>
      </c>
      <c r="T31" s="500"/>
      <c r="U31" s="496"/>
      <c r="V31" s="496"/>
      <c r="W31" s="501" t="str">
        <f>IF(AND(S31&lt;&gt;"N/A",S31&gt;=$W$33),R31,"Bednets")</f>
        <v>Bednets</v>
      </c>
      <c r="Y31" s="246"/>
      <c r="Z31" s="246"/>
      <c r="AA31" s="246"/>
      <c r="AB31" s="246"/>
      <c r="AC31" s="246"/>
      <c r="AD31" s="246"/>
      <c r="AE31" s="246"/>
      <c r="AF31" s="246"/>
      <c r="AG31" s="246"/>
      <c r="AH31" s="246"/>
      <c r="AI31" s="246"/>
      <c r="AJ31" s="246"/>
      <c r="AK31" s="246"/>
      <c r="AL31" s="246"/>
      <c r="AM31" s="246"/>
      <c r="AN31" s="246"/>
      <c r="AO31" s="246"/>
      <c r="AP31" s="246"/>
      <c r="AQ31" s="246"/>
      <c r="AS31" s="232"/>
      <c r="AT31" s="278"/>
      <c r="AU31" s="278"/>
      <c r="AV31" s="278"/>
      <c r="AW31" s="278"/>
      <c r="AX31" s="232"/>
      <c r="AY31" s="279"/>
      <c r="AZ31" s="232"/>
      <c r="BA31" s="232"/>
    </row>
    <row r="32" spans="1:54" ht="13.5" customHeight="1" x14ac:dyDescent="0.2">
      <c r="A32" s="246"/>
      <c r="B32" s="246"/>
      <c r="C32" s="246"/>
      <c r="D32" s="246"/>
      <c r="E32" s="238"/>
      <c r="F32" s="618"/>
      <c r="G32" s="261" t="s">
        <v>560</v>
      </c>
      <c r="H32" s="262"/>
      <c r="I32" s="431">
        <f>V10</f>
        <v>1977.6340378705825</v>
      </c>
      <c r="J32" s="263">
        <f>$I$33/I32</f>
        <v>1.0752008289611359</v>
      </c>
      <c r="K32" s="264"/>
      <c r="L32" s="263"/>
      <c r="M32" s="263"/>
      <c r="N32" s="263"/>
      <c r="O32" s="263"/>
      <c r="P32" s="238"/>
      <c r="Q32" s="286"/>
      <c r="R32" s="352"/>
      <c r="S32" s="353"/>
      <c r="T32" s="353"/>
      <c r="U32" s="353"/>
      <c r="V32" s="353"/>
      <c r="W32" s="354"/>
      <c r="Y32" s="246"/>
      <c r="Z32" s="246"/>
      <c r="AA32" s="246"/>
      <c r="AB32" s="246"/>
      <c r="AC32" s="246"/>
      <c r="AD32" s="246"/>
      <c r="AE32" s="246"/>
      <c r="AF32" s="246"/>
      <c r="AG32" s="246"/>
      <c r="AH32" s="246"/>
      <c r="AI32" s="246"/>
      <c r="AJ32" s="246"/>
      <c r="AK32" s="246"/>
      <c r="AL32" s="246"/>
      <c r="AM32" s="246"/>
      <c r="AN32" s="246"/>
      <c r="AO32" s="246"/>
      <c r="AP32" s="246"/>
      <c r="AQ32" s="246"/>
      <c r="AS32" s="232"/>
      <c r="AT32" s="278"/>
      <c r="AU32" s="278"/>
      <c r="AV32" s="278"/>
      <c r="AW32" s="278"/>
      <c r="AX32" s="232"/>
      <c r="AY32" s="279"/>
      <c r="AZ32" s="232"/>
      <c r="BA32" s="232"/>
    </row>
    <row r="33" spans="1:53" ht="13.75" customHeight="1" thickBot="1" x14ac:dyDescent="0.25">
      <c r="A33" s="246"/>
      <c r="B33" s="246"/>
      <c r="C33" s="246"/>
      <c r="D33" s="246"/>
      <c r="E33" s="246"/>
      <c r="F33" s="618"/>
      <c r="G33" s="261" t="s">
        <v>566</v>
      </c>
      <c r="H33" s="262"/>
      <c r="I33" s="431">
        <f>V11</f>
        <v>2126.3537569002087</v>
      </c>
      <c r="J33" s="238"/>
      <c r="K33" s="244"/>
      <c r="L33" s="238"/>
      <c r="M33" s="238"/>
      <c r="N33" s="238"/>
      <c r="O33" s="238"/>
      <c r="P33" s="246"/>
      <c r="Q33" s="286"/>
      <c r="R33" s="642" t="s">
        <v>248</v>
      </c>
      <c r="S33" s="643"/>
      <c r="T33" s="643"/>
      <c r="U33" s="643"/>
      <c r="V33" s="643"/>
      <c r="W33" s="502">
        <f>$G$10*U37</f>
        <v>109.57500000000002</v>
      </c>
      <c r="X33" s="286"/>
      <c r="Y33" s="286"/>
      <c r="Z33" s="246"/>
      <c r="AA33" s="246"/>
      <c r="AB33" s="246"/>
      <c r="AC33" s="246"/>
      <c r="AD33" s="246"/>
      <c r="AE33" s="246"/>
      <c r="AF33" s="246"/>
      <c r="AG33" s="246"/>
      <c r="AH33" s="246"/>
      <c r="AI33" s="246"/>
      <c r="AJ33" s="246"/>
      <c r="AK33" s="246"/>
      <c r="AL33" s="246"/>
      <c r="AM33" s="246"/>
      <c r="AN33" s="246"/>
      <c r="AO33" s="246"/>
      <c r="AP33" s="246"/>
      <c r="AQ33" s="246"/>
      <c r="AS33" s="232" t="str">
        <f>IF(AS30&lt;$D$14,AS30+1,"")</f>
        <v/>
      </c>
      <c r="AT33" s="278">
        <f>IF(ISNUMBER(AS33),AW30,0)</f>
        <v>0</v>
      </c>
      <c r="AU33" s="278"/>
      <c r="AV33" s="278">
        <f t="shared" si="2"/>
        <v>0</v>
      </c>
      <c r="AW33" s="278">
        <f t="shared" si="6"/>
        <v>0</v>
      </c>
      <c r="AX33" s="232">
        <f>IF(ISNUMBER(AS35),SUM(AU33:AV33),SUM(AU33:AW33))</f>
        <v>0</v>
      </c>
      <c r="AY33" s="279">
        <f>LN(AX33+$J$37)-LN($J$37)</f>
        <v>0</v>
      </c>
      <c r="AZ33" s="232">
        <f t="shared" si="4"/>
        <v>0</v>
      </c>
    </row>
    <row r="34" spans="1:53" ht="13.75" customHeight="1" thickBot="1" x14ac:dyDescent="0.25">
      <c r="A34" s="246"/>
      <c r="B34" s="246"/>
      <c r="C34" s="246"/>
      <c r="D34" s="246"/>
      <c r="E34" s="246"/>
      <c r="F34" s="641"/>
      <c r="G34" s="289" t="s">
        <v>390</v>
      </c>
      <c r="H34" s="290"/>
      <c r="I34" s="432" t="str">
        <f>V12</f>
        <v>-</v>
      </c>
      <c r="J34" s="239"/>
      <c r="K34" s="325"/>
      <c r="L34" s="238"/>
      <c r="M34" s="238"/>
      <c r="N34" s="238"/>
      <c r="O34" s="238"/>
      <c r="P34" s="246"/>
      <c r="Q34" s="286"/>
      <c r="R34" s="378"/>
      <c r="S34" s="378"/>
      <c r="T34" s="378"/>
      <c r="U34" s="378"/>
      <c r="V34" s="378"/>
      <c r="W34" s="287"/>
      <c r="X34" s="287"/>
      <c r="Y34" s="286"/>
      <c r="Z34" s="246"/>
      <c r="AA34" s="246"/>
      <c r="AB34" s="246"/>
      <c r="AC34" s="246"/>
      <c r="AD34" s="246"/>
      <c r="AE34" s="246"/>
      <c r="AF34" s="246"/>
      <c r="AG34" s="246"/>
      <c r="AH34" s="246"/>
      <c r="AI34" s="246"/>
      <c r="AJ34" s="246"/>
      <c r="AK34" s="246"/>
      <c r="AL34" s="246"/>
      <c r="AM34" s="246"/>
      <c r="AN34" s="246"/>
      <c r="AO34" s="246"/>
      <c r="AP34" s="246"/>
      <c r="AQ34" s="246"/>
      <c r="AS34" s="232"/>
      <c r="AT34" s="278"/>
      <c r="AU34" s="278"/>
      <c r="AV34" s="278"/>
      <c r="AW34" s="278"/>
      <c r="AX34" s="232"/>
      <c r="AY34" s="279"/>
      <c r="AZ34" s="232"/>
    </row>
    <row r="35" spans="1:53" ht="51" customHeight="1" thickBot="1" x14ac:dyDescent="0.25">
      <c r="B35" s="246"/>
      <c r="C35" s="246"/>
      <c r="D35" s="246"/>
      <c r="E35" s="246"/>
      <c r="F35" s="246"/>
      <c r="G35" s="246"/>
      <c r="H35" s="246"/>
      <c r="I35" s="309"/>
      <c r="J35" s="309"/>
      <c r="K35" s="246"/>
      <c r="L35" s="246"/>
      <c r="M35" s="246"/>
      <c r="N35" s="246"/>
      <c r="O35" s="246"/>
      <c r="P35" s="246"/>
      <c r="Q35" s="286"/>
      <c r="R35" s="286"/>
      <c r="S35" s="286"/>
      <c r="T35" s="286"/>
      <c r="U35" s="286"/>
      <c r="W35" s="246"/>
      <c r="Y35" s="286"/>
      <c r="Z35" s="246"/>
      <c r="AA35" s="246"/>
      <c r="AB35" s="246"/>
      <c r="AC35" s="246"/>
      <c r="AD35" s="246"/>
      <c r="AE35" s="246"/>
      <c r="AF35" s="246"/>
      <c r="AG35" s="246"/>
      <c r="AH35" s="246"/>
      <c r="AI35" s="246"/>
      <c r="AJ35" s="246"/>
      <c r="AK35" s="246"/>
      <c r="AL35" s="246"/>
      <c r="AM35" s="246"/>
      <c r="AN35" s="246"/>
      <c r="AR35" s="232"/>
      <c r="AS35" s="232" t="str">
        <f>IF(AS33&lt;$D$14,AS33+1,"")</f>
        <v/>
      </c>
      <c r="AT35" s="278">
        <f>IF(ISNUMBER(AS35),AW33,0)</f>
        <v>0</v>
      </c>
      <c r="AU35" s="278"/>
      <c r="AV35" s="278">
        <f t="shared" si="2"/>
        <v>0</v>
      </c>
      <c r="AW35" s="278">
        <f t="shared" si="6"/>
        <v>0</v>
      </c>
      <c r="AX35" s="232">
        <f t="shared" si="7"/>
        <v>0</v>
      </c>
      <c r="AY35" s="279">
        <f>LN(AX35+$J$37)-LN($J$37)</f>
        <v>0</v>
      </c>
      <c r="AZ35" s="232">
        <f t="shared" si="4"/>
        <v>0</v>
      </c>
    </row>
    <row r="36" spans="1:53" ht="31.5" customHeight="1" x14ac:dyDescent="0.2">
      <c r="A36" s="246"/>
      <c r="B36" s="644" t="s">
        <v>557</v>
      </c>
      <c r="C36" s="248"/>
      <c r="D36" s="647" t="s">
        <v>552</v>
      </c>
      <c r="E36" s="648"/>
      <c r="F36" s="649"/>
      <c r="G36" s="250" t="s">
        <v>544</v>
      </c>
      <c r="H36" s="647" t="s">
        <v>555</v>
      </c>
      <c r="I36" s="649"/>
      <c r="J36" s="647" t="s">
        <v>554</v>
      </c>
      <c r="K36" s="648"/>
      <c r="L36" s="648"/>
      <c r="M36" s="648"/>
      <c r="N36" s="649"/>
      <c r="O36" s="647" t="s">
        <v>545</v>
      </c>
      <c r="P36" s="649"/>
      <c r="Q36" s="470" t="s">
        <v>546</v>
      </c>
      <c r="R36" s="281" t="s">
        <v>441</v>
      </c>
      <c r="S36" s="466" t="s">
        <v>553</v>
      </c>
      <c r="T36" s="467"/>
      <c r="U36" s="281" t="s">
        <v>435</v>
      </c>
      <c r="V36" s="281" t="s">
        <v>401</v>
      </c>
      <c r="W36" s="283" t="s">
        <v>404</v>
      </c>
      <c r="X36" s="212"/>
      <c r="Y36" s="246"/>
      <c r="Z36" s="246"/>
      <c r="AA36" s="246"/>
      <c r="AB36" s="246"/>
      <c r="AC36" s="246"/>
      <c r="AD36" s="246"/>
      <c r="AE36" s="246"/>
      <c r="AF36" s="246"/>
      <c r="AG36" s="246"/>
      <c r="AH36" s="246"/>
      <c r="AI36" s="246"/>
      <c r="AJ36" s="246"/>
      <c r="AK36" s="246"/>
      <c r="AL36" s="246"/>
      <c r="AM36" s="246"/>
      <c r="AN36" s="246"/>
      <c r="AR36" s="232"/>
      <c r="AS36" s="232" t="str">
        <f t="shared" si="1"/>
        <v/>
      </c>
      <c r="AT36" s="278">
        <f t="shared" si="5"/>
        <v>0</v>
      </c>
      <c r="AU36" s="278"/>
      <c r="AV36" s="278">
        <f t="shared" si="2"/>
        <v>0</v>
      </c>
      <c r="AW36" s="278">
        <f t="shared" si="6"/>
        <v>0</v>
      </c>
      <c r="AX36" s="232">
        <f t="shared" si="7"/>
        <v>0</v>
      </c>
      <c r="AY36" s="279">
        <f>LN(AX36+$J$37)-LN($J$37)</f>
        <v>0</v>
      </c>
      <c r="AZ36" s="232">
        <f t="shared" si="4"/>
        <v>0</v>
      </c>
      <c r="BA36" s="232"/>
    </row>
    <row r="37" spans="1:53" ht="12" customHeight="1" x14ac:dyDescent="0.2">
      <c r="A37" s="246"/>
      <c r="B37" s="645"/>
      <c r="C37" s="251" t="s">
        <v>548</v>
      </c>
      <c r="D37" s="650">
        <f>Parameters!$D$29</f>
        <v>0.26900000000000002</v>
      </c>
      <c r="E37" s="651"/>
      <c r="F37" s="652"/>
      <c r="G37" s="255">
        <f>Parameters!$D$30</f>
        <v>2.41</v>
      </c>
      <c r="H37" s="653">
        <f>Parameters!$D$61</f>
        <v>4.7</v>
      </c>
      <c r="I37" s="654"/>
      <c r="J37" s="629">
        <f>Parameters!$D$58</f>
        <v>285.92228810603416</v>
      </c>
      <c r="K37" s="630"/>
      <c r="L37" s="630"/>
      <c r="M37" s="630"/>
      <c r="N37" s="631"/>
      <c r="O37" s="632">
        <f>Parameters!$D$59</f>
        <v>1000</v>
      </c>
      <c r="P37" s="633"/>
      <c r="Q37" s="280">
        <f>Parameters!$D$60</f>
        <v>212.7659574468085</v>
      </c>
      <c r="R37" s="282">
        <f>Parameters!$D$49</f>
        <v>2838.2630576673801</v>
      </c>
      <c r="S37" s="282">
        <f>Parameters!$D$50</f>
        <v>3.6112369528824271</v>
      </c>
      <c r="T37" s="464"/>
      <c r="U37" s="340">
        <f>Parameters!$D$11</f>
        <v>36.525000000000006</v>
      </c>
      <c r="V37" s="328">
        <f>Parameters!$D$45</f>
        <v>15</v>
      </c>
      <c r="W37" s="320">
        <f>Parameters!$D$46</f>
        <v>0.43099999999999999</v>
      </c>
      <c r="X37" s="316"/>
      <c r="Y37" s="246"/>
      <c r="Z37" s="238"/>
      <c r="AA37" s="246"/>
      <c r="AB37" s="246"/>
      <c r="AC37" s="246"/>
      <c r="AD37" s="246"/>
      <c r="AE37" s="246"/>
      <c r="AF37" s="246"/>
      <c r="AG37" s="246"/>
      <c r="AH37" s="246"/>
      <c r="AI37" s="246"/>
      <c r="AJ37" s="246"/>
      <c r="AK37" s="246"/>
      <c r="AL37" s="246"/>
      <c r="AM37" s="246"/>
      <c r="AN37" s="246"/>
      <c r="AO37" s="246"/>
      <c r="AS37" s="232" t="str">
        <f t="shared" si="1"/>
        <v/>
      </c>
      <c r="AT37" s="278">
        <f t="shared" si="5"/>
        <v>0</v>
      </c>
      <c r="AU37" s="278"/>
      <c r="AV37" s="278">
        <f t="shared" si="2"/>
        <v>0</v>
      </c>
      <c r="AW37" s="278">
        <f t="shared" si="6"/>
        <v>0</v>
      </c>
      <c r="AX37" s="232">
        <f t="shared" si="7"/>
        <v>0</v>
      </c>
      <c r="AY37" s="279">
        <f>LN(AX37+$J$37)-LN($J$37)</f>
        <v>0</v>
      </c>
      <c r="AZ37" s="232">
        <f t="shared" si="4"/>
        <v>0</v>
      </c>
      <c r="BA37" s="232"/>
    </row>
    <row r="38" spans="1:53" ht="12" customHeight="1" thickBot="1" x14ac:dyDescent="0.25">
      <c r="A38" s="246"/>
      <c r="B38" s="646"/>
      <c r="C38" s="252" t="s">
        <v>549</v>
      </c>
      <c r="D38" s="634" t="s">
        <v>218</v>
      </c>
      <c r="E38" s="635"/>
      <c r="F38" s="635"/>
      <c r="G38" s="636"/>
      <c r="H38" s="392" t="s">
        <v>551</v>
      </c>
      <c r="I38" s="393"/>
      <c r="J38" s="393"/>
      <c r="K38" s="393"/>
      <c r="L38" s="393"/>
      <c r="M38" s="393"/>
      <c r="N38" s="393"/>
      <c r="O38" s="393"/>
      <c r="P38" s="393"/>
      <c r="Q38" s="394"/>
      <c r="R38" s="634" t="s">
        <v>131</v>
      </c>
      <c r="S38" s="635"/>
      <c r="T38" s="636"/>
      <c r="U38" s="329" t="s">
        <v>253</v>
      </c>
      <c r="V38" s="330" t="s">
        <v>402</v>
      </c>
      <c r="W38" s="331" t="s">
        <v>349</v>
      </c>
      <c r="X38" s="429"/>
      <c r="Y38" s="246"/>
      <c r="Z38" s="238"/>
      <c r="AA38" s="246"/>
      <c r="AB38" s="246"/>
      <c r="AC38" s="246"/>
      <c r="AD38" s="246"/>
      <c r="AE38" s="246"/>
      <c r="AF38" s="246"/>
      <c r="AG38" s="246"/>
      <c r="AH38" s="246"/>
      <c r="AI38" s="246"/>
      <c r="AJ38" s="246"/>
      <c r="AK38" s="246"/>
      <c r="AL38" s="246"/>
      <c r="AM38" s="246"/>
      <c r="AN38" s="246"/>
      <c r="AO38" s="246"/>
      <c r="AP38" s="246"/>
      <c r="AQ38" s="246"/>
      <c r="AS38" s="232" t="str">
        <f t="shared" si="1"/>
        <v/>
      </c>
      <c r="AT38" s="278">
        <f t="shared" si="5"/>
        <v>0</v>
      </c>
      <c r="AU38" s="278"/>
      <c r="AV38" s="278">
        <f t="shared" si="2"/>
        <v>0</v>
      </c>
      <c r="AW38" s="278">
        <f t="shared" si="6"/>
        <v>0</v>
      </c>
      <c r="AX38" s="232">
        <f t="shared" si="7"/>
        <v>0</v>
      </c>
      <c r="AY38" s="279">
        <f>LN(AX38+$J$37)-LN($J$37)</f>
        <v>0</v>
      </c>
      <c r="AZ38" s="232">
        <f t="shared" si="4"/>
        <v>0</v>
      </c>
      <c r="BA38" s="232"/>
    </row>
    <row r="39" spans="1:53" s="246" customFormat="1" ht="15" x14ac:dyDescent="0.2">
      <c r="J39" s="309"/>
      <c r="K39" s="309"/>
      <c r="L39" s="309"/>
      <c r="M39" s="309"/>
      <c r="Z39" s="238"/>
      <c r="AS39" s="288" t="str">
        <f t="shared" si="1"/>
        <v/>
      </c>
      <c r="AT39" s="326">
        <f t="shared" si="5"/>
        <v>0</v>
      </c>
      <c r="AU39" s="326"/>
      <c r="AV39" s="326">
        <f t="shared" si="2"/>
        <v>0</v>
      </c>
      <c r="AW39" s="326">
        <f t="shared" si="6"/>
        <v>0</v>
      </c>
      <c r="AX39" s="288">
        <f t="shared" si="7"/>
        <v>0</v>
      </c>
      <c r="AY39" s="327">
        <f t="shared" ref="AY39:AY102" si="8">LN(AX39+$J$37)-LN($J$37)</f>
        <v>0</v>
      </c>
      <c r="AZ39" s="288">
        <f t="shared" si="4"/>
        <v>0</v>
      </c>
      <c r="BA39" s="288"/>
    </row>
    <row r="40" spans="1:53" s="246" customFormat="1" ht="15" x14ac:dyDescent="0.2">
      <c r="R40" s="309"/>
      <c r="AS40" s="288" t="str">
        <f t="shared" si="1"/>
        <v/>
      </c>
      <c r="AT40" s="326">
        <f t="shared" si="5"/>
        <v>0</v>
      </c>
      <c r="AU40" s="326"/>
      <c r="AV40" s="326">
        <f t="shared" si="2"/>
        <v>0</v>
      </c>
      <c r="AW40" s="326">
        <f t="shared" si="6"/>
        <v>0</v>
      </c>
      <c r="AX40" s="288">
        <f t="shared" si="7"/>
        <v>0</v>
      </c>
      <c r="AY40" s="327">
        <f t="shared" si="8"/>
        <v>0</v>
      </c>
      <c r="AZ40" s="288">
        <f t="shared" si="4"/>
        <v>0</v>
      </c>
      <c r="BA40" s="288"/>
    </row>
    <row r="41" spans="1:53" s="246" customFormat="1" ht="15" x14ac:dyDescent="0.2">
      <c r="R41" s="309"/>
      <c r="AS41" s="288" t="str">
        <f t="shared" si="1"/>
        <v/>
      </c>
      <c r="AT41" s="326">
        <f t="shared" si="5"/>
        <v>0</v>
      </c>
      <c r="AU41" s="326"/>
      <c r="AV41" s="326">
        <f t="shared" si="2"/>
        <v>0</v>
      </c>
      <c r="AW41" s="326">
        <f t="shared" si="6"/>
        <v>0</v>
      </c>
      <c r="AX41" s="288">
        <f t="shared" si="7"/>
        <v>0</v>
      </c>
      <c r="AY41" s="327">
        <f t="shared" si="8"/>
        <v>0</v>
      </c>
      <c r="AZ41" s="288">
        <f t="shared" si="4"/>
        <v>0</v>
      </c>
      <c r="BA41" s="288"/>
    </row>
    <row r="42" spans="1:53" s="246" customFormat="1" ht="15" x14ac:dyDescent="0.2">
      <c r="R42" s="309"/>
      <c r="S42" s="410"/>
      <c r="AS42" s="288" t="str">
        <f t="shared" si="1"/>
        <v/>
      </c>
      <c r="AT42" s="326">
        <f t="shared" si="5"/>
        <v>0</v>
      </c>
      <c r="AU42" s="326"/>
      <c r="AV42" s="326">
        <f t="shared" si="2"/>
        <v>0</v>
      </c>
      <c r="AW42" s="326">
        <f t="shared" si="6"/>
        <v>0</v>
      </c>
      <c r="AX42" s="288">
        <f t="shared" si="7"/>
        <v>0</v>
      </c>
      <c r="AY42" s="327">
        <f t="shared" si="8"/>
        <v>0</v>
      </c>
      <c r="AZ42" s="288">
        <f t="shared" si="4"/>
        <v>0</v>
      </c>
      <c r="BA42" s="288"/>
    </row>
    <row r="43" spans="1:53" s="246" customFormat="1" ht="15" x14ac:dyDescent="0.2">
      <c r="R43" s="412"/>
      <c r="S43" s="387"/>
      <c r="AS43" s="288" t="str">
        <f t="shared" si="1"/>
        <v/>
      </c>
      <c r="AT43" s="326">
        <f t="shared" si="5"/>
        <v>0</v>
      </c>
      <c r="AU43" s="326"/>
      <c r="AV43" s="326">
        <f t="shared" si="2"/>
        <v>0</v>
      </c>
      <c r="AW43" s="326">
        <f t="shared" si="6"/>
        <v>0</v>
      </c>
      <c r="AX43" s="288">
        <f t="shared" si="7"/>
        <v>0</v>
      </c>
      <c r="AY43" s="327">
        <f t="shared" si="8"/>
        <v>0</v>
      </c>
      <c r="AZ43" s="288">
        <f t="shared" si="4"/>
        <v>0</v>
      </c>
      <c r="BA43" s="288"/>
    </row>
    <row r="44" spans="1:53" s="246" customFormat="1" ht="15" x14ac:dyDescent="0.2">
      <c r="S44" s="387"/>
      <c r="AS44" s="288" t="str">
        <f t="shared" si="1"/>
        <v/>
      </c>
      <c r="AT44" s="326">
        <f t="shared" si="5"/>
        <v>0</v>
      </c>
      <c r="AU44" s="326"/>
      <c r="AV44" s="326">
        <f t="shared" si="2"/>
        <v>0</v>
      </c>
      <c r="AW44" s="326">
        <f t="shared" si="6"/>
        <v>0</v>
      </c>
      <c r="AX44" s="288">
        <f t="shared" si="7"/>
        <v>0</v>
      </c>
      <c r="AY44" s="327">
        <f t="shared" si="8"/>
        <v>0</v>
      </c>
      <c r="AZ44" s="288">
        <f t="shared" si="4"/>
        <v>0</v>
      </c>
      <c r="BA44" s="288"/>
    </row>
    <row r="45" spans="1:53" s="246" customFormat="1" ht="15" x14ac:dyDescent="0.2">
      <c r="S45" s="387"/>
      <c r="AS45" s="288" t="str">
        <f t="shared" si="1"/>
        <v/>
      </c>
      <c r="AT45" s="326">
        <f t="shared" si="5"/>
        <v>0</v>
      </c>
      <c r="AU45" s="326"/>
      <c r="AV45" s="326">
        <f t="shared" si="2"/>
        <v>0</v>
      </c>
      <c r="AW45" s="326">
        <f t="shared" si="6"/>
        <v>0</v>
      </c>
      <c r="AX45" s="288">
        <f t="shared" si="7"/>
        <v>0</v>
      </c>
      <c r="AY45" s="327">
        <f t="shared" si="8"/>
        <v>0</v>
      </c>
      <c r="AZ45" s="288">
        <f t="shared" si="4"/>
        <v>0</v>
      </c>
      <c r="BA45" s="288"/>
    </row>
    <row r="46" spans="1:53" s="246" customFormat="1" ht="15" x14ac:dyDescent="0.2">
      <c r="S46" s="387"/>
      <c r="AS46" s="288" t="str">
        <f t="shared" si="1"/>
        <v/>
      </c>
      <c r="AT46" s="326">
        <f t="shared" si="5"/>
        <v>0</v>
      </c>
      <c r="AU46" s="326"/>
      <c r="AV46" s="326">
        <f t="shared" si="2"/>
        <v>0</v>
      </c>
      <c r="AW46" s="326">
        <f t="shared" si="6"/>
        <v>0</v>
      </c>
      <c r="AX46" s="288">
        <f t="shared" si="7"/>
        <v>0</v>
      </c>
      <c r="AY46" s="327">
        <f t="shared" si="8"/>
        <v>0</v>
      </c>
      <c r="AZ46" s="288">
        <f t="shared" si="4"/>
        <v>0</v>
      </c>
      <c r="BA46" s="288"/>
    </row>
    <row r="47" spans="1:53" s="246" customFormat="1" ht="15" x14ac:dyDescent="0.2">
      <c r="S47" s="387"/>
      <c r="AS47" s="288" t="str">
        <f t="shared" si="1"/>
        <v/>
      </c>
      <c r="AT47" s="326">
        <f t="shared" si="5"/>
        <v>0</v>
      </c>
      <c r="AU47" s="326"/>
      <c r="AV47" s="326">
        <f t="shared" si="2"/>
        <v>0</v>
      </c>
      <c r="AW47" s="326">
        <f t="shared" si="6"/>
        <v>0</v>
      </c>
      <c r="AX47" s="288">
        <f t="shared" si="7"/>
        <v>0</v>
      </c>
      <c r="AY47" s="327">
        <f t="shared" si="8"/>
        <v>0</v>
      </c>
      <c r="AZ47" s="288">
        <f t="shared" si="4"/>
        <v>0</v>
      </c>
      <c r="BA47" s="288"/>
    </row>
    <row r="48" spans="1:53" s="246" customFormat="1" ht="15" x14ac:dyDescent="0.2">
      <c r="AS48" s="288" t="str">
        <f t="shared" si="1"/>
        <v/>
      </c>
      <c r="AT48" s="326">
        <f t="shared" si="5"/>
        <v>0</v>
      </c>
      <c r="AU48" s="326"/>
      <c r="AV48" s="326">
        <f t="shared" si="2"/>
        <v>0</v>
      </c>
      <c r="AW48" s="326">
        <f t="shared" si="6"/>
        <v>0</v>
      </c>
      <c r="AX48" s="288">
        <f t="shared" si="7"/>
        <v>0</v>
      </c>
      <c r="AY48" s="327">
        <f t="shared" si="8"/>
        <v>0</v>
      </c>
      <c r="AZ48" s="288">
        <f t="shared" si="4"/>
        <v>0</v>
      </c>
      <c r="BA48" s="288"/>
    </row>
    <row r="49" spans="45:53" s="246" customFormat="1" ht="15" x14ac:dyDescent="0.2">
      <c r="AS49" s="288" t="str">
        <f t="shared" si="1"/>
        <v/>
      </c>
      <c r="AT49" s="326">
        <f t="shared" si="5"/>
        <v>0</v>
      </c>
      <c r="AU49" s="326"/>
      <c r="AV49" s="326">
        <f t="shared" si="2"/>
        <v>0</v>
      </c>
      <c r="AW49" s="326">
        <f t="shared" si="6"/>
        <v>0</v>
      </c>
      <c r="AX49" s="288">
        <f t="shared" si="7"/>
        <v>0</v>
      </c>
      <c r="AY49" s="327">
        <f t="shared" si="8"/>
        <v>0</v>
      </c>
      <c r="AZ49" s="288">
        <f t="shared" si="4"/>
        <v>0</v>
      </c>
      <c r="BA49" s="288"/>
    </row>
    <row r="50" spans="45:53" s="246" customFormat="1" ht="15" x14ac:dyDescent="0.2">
      <c r="AS50" s="288" t="str">
        <f t="shared" si="1"/>
        <v/>
      </c>
      <c r="AT50" s="326">
        <f t="shared" si="5"/>
        <v>0</v>
      </c>
      <c r="AU50" s="326"/>
      <c r="AV50" s="326">
        <f t="shared" si="2"/>
        <v>0</v>
      </c>
      <c r="AW50" s="326">
        <f t="shared" si="6"/>
        <v>0</v>
      </c>
      <c r="AX50" s="288">
        <f t="shared" si="7"/>
        <v>0</v>
      </c>
      <c r="AY50" s="327">
        <f t="shared" si="8"/>
        <v>0</v>
      </c>
      <c r="AZ50" s="288">
        <f t="shared" si="4"/>
        <v>0</v>
      </c>
      <c r="BA50" s="288"/>
    </row>
    <row r="51" spans="45:53" s="246" customFormat="1" ht="15" x14ac:dyDescent="0.2">
      <c r="AS51" s="288" t="str">
        <f t="shared" si="1"/>
        <v/>
      </c>
      <c r="AT51" s="326">
        <f t="shared" si="5"/>
        <v>0</v>
      </c>
      <c r="AU51" s="326"/>
      <c r="AV51" s="326">
        <f t="shared" si="2"/>
        <v>0</v>
      </c>
      <c r="AW51" s="326">
        <f t="shared" si="6"/>
        <v>0</v>
      </c>
      <c r="AX51" s="288">
        <f t="shared" si="7"/>
        <v>0</v>
      </c>
      <c r="AY51" s="327">
        <f t="shared" si="8"/>
        <v>0</v>
      </c>
      <c r="AZ51" s="288">
        <f t="shared" si="4"/>
        <v>0</v>
      </c>
      <c r="BA51" s="288"/>
    </row>
    <row r="52" spans="45:53" s="246" customFormat="1" ht="15" x14ac:dyDescent="0.2">
      <c r="AS52" s="288" t="str">
        <f t="shared" si="1"/>
        <v/>
      </c>
      <c r="AT52" s="326">
        <f t="shared" si="5"/>
        <v>0</v>
      </c>
      <c r="AU52" s="326"/>
      <c r="AV52" s="326">
        <f t="shared" si="2"/>
        <v>0</v>
      </c>
      <c r="AW52" s="326">
        <f t="shared" si="6"/>
        <v>0</v>
      </c>
      <c r="AX52" s="288">
        <f t="shared" si="7"/>
        <v>0</v>
      </c>
      <c r="AY52" s="327">
        <f t="shared" si="8"/>
        <v>0</v>
      </c>
      <c r="AZ52" s="288">
        <f t="shared" si="4"/>
        <v>0</v>
      </c>
      <c r="BA52" s="288"/>
    </row>
    <row r="53" spans="45:53" s="246" customFormat="1" ht="15" x14ac:dyDescent="0.2">
      <c r="AS53" s="288" t="str">
        <f t="shared" si="1"/>
        <v/>
      </c>
      <c r="AT53" s="326">
        <f t="shared" si="5"/>
        <v>0</v>
      </c>
      <c r="AU53" s="326"/>
      <c r="AV53" s="326">
        <f t="shared" si="2"/>
        <v>0</v>
      </c>
      <c r="AW53" s="326">
        <f t="shared" si="6"/>
        <v>0</v>
      </c>
      <c r="AX53" s="288">
        <f t="shared" si="7"/>
        <v>0</v>
      </c>
      <c r="AY53" s="327">
        <f t="shared" si="8"/>
        <v>0</v>
      </c>
      <c r="AZ53" s="288">
        <f t="shared" si="4"/>
        <v>0</v>
      </c>
      <c r="BA53" s="288"/>
    </row>
    <row r="54" spans="45:53" s="246" customFormat="1" ht="15" x14ac:dyDescent="0.2">
      <c r="AS54" s="288" t="str">
        <f t="shared" si="1"/>
        <v/>
      </c>
      <c r="AT54" s="326">
        <f t="shared" si="5"/>
        <v>0</v>
      </c>
      <c r="AU54" s="326"/>
      <c r="AV54" s="326">
        <f t="shared" si="2"/>
        <v>0</v>
      </c>
      <c r="AW54" s="326">
        <f t="shared" si="6"/>
        <v>0</v>
      </c>
      <c r="AX54" s="288">
        <f t="shared" si="7"/>
        <v>0</v>
      </c>
      <c r="AY54" s="327">
        <f t="shared" si="8"/>
        <v>0</v>
      </c>
      <c r="AZ54" s="288">
        <f t="shared" si="4"/>
        <v>0</v>
      </c>
      <c r="BA54" s="288"/>
    </row>
    <row r="55" spans="45:53" s="246" customFormat="1" ht="15" x14ac:dyDescent="0.2">
      <c r="AS55" s="288" t="str">
        <f t="shared" si="1"/>
        <v/>
      </c>
      <c r="AT55" s="326">
        <f t="shared" si="5"/>
        <v>0</v>
      </c>
      <c r="AU55" s="326"/>
      <c r="AV55" s="326">
        <f t="shared" si="2"/>
        <v>0</v>
      </c>
      <c r="AW55" s="326">
        <f t="shared" si="6"/>
        <v>0</v>
      </c>
      <c r="AX55" s="288">
        <f t="shared" si="7"/>
        <v>0</v>
      </c>
      <c r="AY55" s="327">
        <f t="shared" si="8"/>
        <v>0</v>
      </c>
      <c r="AZ55" s="288">
        <f t="shared" si="4"/>
        <v>0</v>
      </c>
      <c r="BA55" s="288"/>
    </row>
    <row r="56" spans="45:53" s="246" customFormat="1" ht="15" x14ac:dyDescent="0.2">
      <c r="AS56" s="288" t="str">
        <f t="shared" si="1"/>
        <v/>
      </c>
      <c r="AT56" s="326">
        <f t="shared" si="5"/>
        <v>0</v>
      </c>
      <c r="AU56" s="326"/>
      <c r="AV56" s="326">
        <f t="shared" si="2"/>
        <v>0</v>
      </c>
      <c r="AW56" s="326">
        <f t="shared" si="6"/>
        <v>0</v>
      </c>
      <c r="AX56" s="288">
        <f t="shared" si="7"/>
        <v>0</v>
      </c>
      <c r="AY56" s="327">
        <f t="shared" si="8"/>
        <v>0</v>
      </c>
      <c r="AZ56" s="288">
        <f t="shared" si="4"/>
        <v>0</v>
      </c>
      <c r="BA56" s="288"/>
    </row>
    <row r="57" spans="45:53" s="246" customFormat="1" ht="15" x14ac:dyDescent="0.2">
      <c r="AS57" s="288" t="str">
        <f t="shared" si="1"/>
        <v/>
      </c>
      <c r="AT57" s="326">
        <f t="shared" si="5"/>
        <v>0</v>
      </c>
      <c r="AU57" s="326"/>
      <c r="AV57" s="326">
        <f t="shared" si="2"/>
        <v>0</v>
      </c>
      <c r="AW57" s="326">
        <f t="shared" si="6"/>
        <v>0</v>
      </c>
      <c r="AX57" s="288">
        <f t="shared" si="7"/>
        <v>0</v>
      </c>
      <c r="AY57" s="327">
        <f t="shared" si="8"/>
        <v>0</v>
      </c>
      <c r="AZ57" s="288">
        <f t="shared" si="4"/>
        <v>0</v>
      </c>
      <c r="BA57" s="288"/>
    </row>
    <row r="58" spans="45:53" s="246" customFormat="1" ht="15" x14ac:dyDescent="0.2">
      <c r="AS58" s="288" t="str">
        <f t="shared" si="1"/>
        <v/>
      </c>
      <c r="AT58" s="326">
        <f t="shared" si="5"/>
        <v>0</v>
      </c>
      <c r="AU58" s="326"/>
      <c r="AV58" s="326">
        <f t="shared" si="2"/>
        <v>0</v>
      </c>
      <c r="AW58" s="326">
        <f t="shared" si="6"/>
        <v>0</v>
      </c>
      <c r="AX58" s="288">
        <f t="shared" si="7"/>
        <v>0</v>
      </c>
      <c r="AY58" s="327">
        <f t="shared" si="8"/>
        <v>0</v>
      </c>
      <c r="AZ58" s="288">
        <f t="shared" si="4"/>
        <v>0</v>
      </c>
      <c r="BA58" s="288"/>
    </row>
    <row r="59" spans="45:53" s="246" customFormat="1" ht="15" x14ac:dyDescent="0.2">
      <c r="AS59" s="288" t="str">
        <f t="shared" si="1"/>
        <v/>
      </c>
      <c r="AT59" s="326">
        <f t="shared" si="5"/>
        <v>0</v>
      </c>
      <c r="AU59" s="326"/>
      <c r="AV59" s="326">
        <f t="shared" si="2"/>
        <v>0</v>
      </c>
      <c r="AW59" s="326">
        <f t="shared" si="6"/>
        <v>0</v>
      </c>
      <c r="AX59" s="288">
        <f t="shared" si="7"/>
        <v>0</v>
      </c>
      <c r="AY59" s="327">
        <f t="shared" si="8"/>
        <v>0</v>
      </c>
      <c r="AZ59" s="288">
        <f t="shared" si="4"/>
        <v>0</v>
      </c>
      <c r="BA59" s="288"/>
    </row>
    <row r="60" spans="45:53" s="246" customFormat="1" ht="15" x14ac:dyDescent="0.2">
      <c r="AS60" s="288" t="str">
        <f t="shared" si="1"/>
        <v/>
      </c>
      <c r="AT60" s="326">
        <f t="shared" si="5"/>
        <v>0</v>
      </c>
      <c r="AU60" s="326"/>
      <c r="AV60" s="326">
        <f t="shared" si="2"/>
        <v>0</v>
      </c>
      <c r="AW60" s="326">
        <f t="shared" si="6"/>
        <v>0</v>
      </c>
      <c r="AX60" s="288">
        <f t="shared" si="7"/>
        <v>0</v>
      </c>
      <c r="AY60" s="327">
        <f t="shared" si="8"/>
        <v>0</v>
      </c>
      <c r="AZ60" s="288">
        <f t="shared" si="4"/>
        <v>0</v>
      </c>
      <c r="BA60" s="288"/>
    </row>
    <row r="61" spans="45:53" s="246" customFormat="1" ht="15" x14ac:dyDescent="0.2">
      <c r="AS61" s="288" t="str">
        <f t="shared" si="1"/>
        <v/>
      </c>
      <c r="AT61" s="326">
        <f t="shared" si="5"/>
        <v>0</v>
      </c>
      <c r="AU61" s="326"/>
      <c r="AV61" s="326">
        <f t="shared" si="2"/>
        <v>0</v>
      </c>
      <c r="AW61" s="326">
        <f t="shared" si="6"/>
        <v>0</v>
      </c>
      <c r="AX61" s="288">
        <f t="shared" si="7"/>
        <v>0</v>
      </c>
      <c r="AY61" s="327">
        <f t="shared" si="8"/>
        <v>0</v>
      </c>
      <c r="AZ61" s="288">
        <f t="shared" si="4"/>
        <v>0</v>
      </c>
      <c r="BA61" s="288"/>
    </row>
    <row r="62" spans="45:53" s="246" customFormat="1" ht="15" x14ac:dyDescent="0.2">
      <c r="AS62" s="288" t="str">
        <f t="shared" si="1"/>
        <v/>
      </c>
      <c r="AT62" s="326">
        <f t="shared" si="5"/>
        <v>0</v>
      </c>
      <c r="AU62" s="326"/>
      <c r="AV62" s="326">
        <f t="shared" si="2"/>
        <v>0</v>
      </c>
      <c r="AW62" s="326">
        <f t="shared" si="6"/>
        <v>0</v>
      </c>
      <c r="AX62" s="288">
        <f t="shared" si="7"/>
        <v>0</v>
      </c>
      <c r="AY62" s="327">
        <f t="shared" si="8"/>
        <v>0</v>
      </c>
      <c r="AZ62" s="288">
        <f t="shared" si="4"/>
        <v>0</v>
      </c>
      <c r="BA62" s="288"/>
    </row>
    <row r="63" spans="45:53" s="246" customFormat="1" ht="15" x14ac:dyDescent="0.2">
      <c r="AS63" s="288" t="str">
        <f t="shared" si="1"/>
        <v/>
      </c>
      <c r="AT63" s="326">
        <f t="shared" si="5"/>
        <v>0</v>
      </c>
      <c r="AU63" s="326"/>
      <c r="AV63" s="326">
        <f t="shared" si="2"/>
        <v>0</v>
      </c>
      <c r="AW63" s="326">
        <f t="shared" si="6"/>
        <v>0</v>
      </c>
      <c r="AX63" s="288">
        <f t="shared" si="7"/>
        <v>0</v>
      </c>
      <c r="AY63" s="327">
        <f t="shared" si="8"/>
        <v>0</v>
      </c>
      <c r="AZ63" s="288">
        <f t="shared" si="4"/>
        <v>0</v>
      </c>
      <c r="BA63" s="288"/>
    </row>
    <row r="64" spans="45:53" s="246" customFormat="1" ht="15" x14ac:dyDescent="0.2">
      <c r="AS64" s="288" t="str">
        <f t="shared" si="1"/>
        <v/>
      </c>
      <c r="AT64" s="326">
        <f t="shared" si="5"/>
        <v>0</v>
      </c>
      <c r="AU64" s="326"/>
      <c r="AV64" s="326">
        <f t="shared" si="2"/>
        <v>0</v>
      </c>
      <c r="AW64" s="326">
        <f t="shared" si="6"/>
        <v>0</v>
      </c>
      <c r="AX64" s="288">
        <f t="shared" si="7"/>
        <v>0</v>
      </c>
      <c r="AY64" s="327">
        <f t="shared" si="8"/>
        <v>0</v>
      </c>
      <c r="AZ64" s="288">
        <f t="shared" si="4"/>
        <v>0</v>
      </c>
      <c r="BA64" s="288"/>
    </row>
    <row r="65" spans="45:53" s="246" customFormat="1" ht="15" x14ac:dyDescent="0.2">
      <c r="AS65" s="288" t="str">
        <f t="shared" si="1"/>
        <v/>
      </c>
      <c r="AT65" s="326">
        <f t="shared" si="5"/>
        <v>0</v>
      </c>
      <c r="AU65" s="326"/>
      <c r="AV65" s="326">
        <f t="shared" si="2"/>
        <v>0</v>
      </c>
      <c r="AW65" s="326">
        <f t="shared" si="6"/>
        <v>0</v>
      </c>
      <c r="AX65" s="288">
        <f t="shared" si="7"/>
        <v>0</v>
      </c>
      <c r="AY65" s="327">
        <f t="shared" si="8"/>
        <v>0</v>
      </c>
      <c r="AZ65" s="288">
        <f t="shared" si="4"/>
        <v>0</v>
      </c>
      <c r="BA65" s="288"/>
    </row>
    <row r="66" spans="45:53" s="246" customFormat="1" ht="15" x14ac:dyDescent="0.2">
      <c r="AS66" s="288" t="str">
        <f t="shared" si="1"/>
        <v/>
      </c>
      <c r="AT66" s="326">
        <f t="shared" si="5"/>
        <v>0</v>
      </c>
      <c r="AU66" s="326"/>
      <c r="AV66" s="326">
        <f t="shared" si="2"/>
        <v>0</v>
      </c>
      <c r="AW66" s="326">
        <f t="shared" si="6"/>
        <v>0</v>
      </c>
      <c r="AX66" s="288">
        <f t="shared" si="7"/>
        <v>0</v>
      </c>
      <c r="AY66" s="327">
        <f t="shared" si="8"/>
        <v>0</v>
      </c>
      <c r="AZ66" s="288">
        <f t="shared" si="4"/>
        <v>0</v>
      </c>
      <c r="BA66" s="288"/>
    </row>
    <row r="67" spans="45:53" s="246" customFormat="1" ht="15" x14ac:dyDescent="0.2">
      <c r="AS67" s="288" t="str">
        <f t="shared" si="1"/>
        <v/>
      </c>
      <c r="AT67" s="326">
        <f t="shared" si="5"/>
        <v>0</v>
      </c>
      <c r="AU67" s="326"/>
      <c r="AV67" s="326">
        <f t="shared" si="2"/>
        <v>0</v>
      </c>
      <c r="AW67" s="326">
        <f t="shared" si="6"/>
        <v>0</v>
      </c>
      <c r="AX67" s="288">
        <f t="shared" si="7"/>
        <v>0</v>
      </c>
      <c r="AY67" s="327">
        <f t="shared" si="8"/>
        <v>0</v>
      </c>
      <c r="AZ67" s="288">
        <f t="shared" si="4"/>
        <v>0</v>
      </c>
      <c r="BA67" s="288"/>
    </row>
    <row r="68" spans="45:53" s="246" customFormat="1" ht="15" x14ac:dyDescent="0.2">
      <c r="AS68" s="288" t="str">
        <f t="shared" si="1"/>
        <v/>
      </c>
      <c r="AT68" s="326">
        <f t="shared" si="5"/>
        <v>0</v>
      </c>
      <c r="AU68" s="326"/>
      <c r="AV68" s="326">
        <f t="shared" si="2"/>
        <v>0</v>
      </c>
      <c r="AW68" s="326">
        <f t="shared" si="6"/>
        <v>0</v>
      </c>
      <c r="AX68" s="288">
        <f t="shared" si="7"/>
        <v>0</v>
      </c>
      <c r="AY68" s="327">
        <f t="shared" si="8"/>
        <v>0</v>
      </c>
      <c r="AZ68" s="288">
        <f t="shared" si="4"/>
        <v>0</v>
      </c>
      <c r="BA68" s="288"/>
    </row>
    <row r="69" spans="45:53" s="246" customFormat="1" ht="15" x14ac:dyDescent="0.2">
      <c r="AS69" s="288" t="str">
        <f t="shared" ref="AS69:AS114" si="9">IF(AS68&lt;$D$14,AS68+1,"")</f>
        <v/>
      </c>
      <c r="AT69" s="326">
        <f t="shared" si="5"/>
        <v>0</v>
      </c>
      <c r="AU69" s="326"/>
      <c r="AV69" s="326">
        <f t="shared" si="2"/>
        <v>0</v>
      </c>
      <c r="AW69" s="326">
        <f t="shared" si="6"/>
        <v>0</v>
      </c>
      <c r="AX69" s="288">
        <f t="shared" si="7"/>
        <v>0</v>
      </c>
      <c r="AY69" s="327">
        <f t="shared" si="8"/>
        <v>0</v>
      </c>
      <c r="AZ69" s="288">
        <f t="shared" si="4"/>
        <v>0</v>
      </c>
      <c r="BA69" s="288"/>
    </row>
    <row r="70" spans="45:53" s="246" customFormat="1" ht="15" x14ac:dyDescent="0.2">
      <c r="AS70" s="288" t="str">
        <f t="shared" si="9"/>
        <v/>
      </c>
      <c r="AT70" s="326">
        <f t="shared" si="5"/>
        <v>0</v>
      </c>
      <c r="AU70" s="326"/>
      <c r="AV70" s="326">
        <f t="shared" si="2"/>
        <v>0</v>
      </c>
      <c r="AW70" s="326">
        <f t="shared" si="6"/>
        <v>0</v>
      </c>
      <c r="AX70" s="288">
        <f t="shared" si="7"/>
        <v>0</v>
      </c>
      <c r="AY70" s="327">
        <f t="shared" si="8"/>
        <v>0</v>
      </c>
      <c r="AZ70" s="288">
        <f t="shared" si="4"/>
        <v>0</v>
      </c>
      <c r="BA70" s="288"/>
    </row>
    <row r="71" spans="45:53" s="246" customFormat="1" ht="15" x14ac:dyDescent="0.2">
      <c r="AS71" s="288" t="str">
        <f t="shared" si="9"/>
        <v/>
      </c>
      <c r="AT71" s="326">
        <f t="shared" si="5"/>
        <v>0</v>
      </c>
      <c r="AU71" s="326"/>
      <c r="AV71" s="326">
        <f t="shared" si="2"/>
        <v>0</v>
      </c>
      <c r="AW71" s="326">
        <f t="shared" si="6"/>
        <v>0</v>
      </c>
      <c r="AX71" s="288">
        <f t="shared" si="7"/>
        <v>0</v>
      </c>
      <c r="AY71" s="327">
        <f t="shared" si="8"/>
        <v>0</v>
      </c>
      <c r="AZ71" s="288">
        <f t="shared" si="4"/>
        <v>0</v>
      </c>
      <c r="BA71" s="288"/>
    </row>
    <row r="72" spans="45:53" s="246" customFormat="1" ht="15" x14ac:dyDescent="0.2">
      <c r="AS72" s="288" t="str">
        <f t="shared" si="9"/>
        <v/>
      </c>
      <c r="AT72" s="326">
        <f t="shared" si="5"/>
        <v>0</v>
      </c>
      <c r="AU72" s="326"/>
      <c r="AV72" s="326">
        <f t="shared" ref="AV72:AV114" si="10">$D$10*AT72</f>
        <v>0</v>
      </c>
      <c r="AW72" s="326">
        <f t="shared" si="6"/>
        <v>0</v>
      </c>
      <c r="AX72" s="288">
        <f t="shared" si="7"/>
        <v>0</v>
      </c>
      <c r="AY72" s="327">
        <f t="shared" si="8"/>
        <v>0</v>
      </c>
      <c r="AZ72" s="288">
        <f t="shared" ref="AZ72:AZ114" si="11">IF(ISNUMBER(AS72),AY72/(1+$D$7)^AS72,0)</f>
        <v>0</v>
      </c>
      <c r="BA72" s="288"/>
    </row>
    <row r="73" spans="45:53" s="246" customFormat="1" ht="15" x14ac:dyDescent="0.2">
      <c r="AS73" s="288" t="str">
        <f t="shared" si="9"/>
        <v/>
      </c>
      <c r="AT73" s="326">
        <f t="shared" ref="AT73:AT114" si="12">IF(ISNUMBER(AS73),AW72,0)</f>
        <v>0</v>
      </c>
      <c r="AU73" s="326"/>
      <c r="AV73" s="326">
        <f t="shared" si="10"/>
        <v>0</v>
      </c>
      <c r="AW73" s="326">
        <f t="shared" ref="AW73:AW114" si="13">AT73</f>
        <v>0</v>
      </c>
      <c r="AX73" s="288">
        <f t="shared" si="7"/>
        <v>0</v>
      </c>
      <c r="AY73" s="327">
        <f t="shared" si="8"/>
        <v>0</v>
      </c>
      <c r="AZ73" s="288">
        <f t="shared" si="11"/>
        <v>0</v>
      </c>
      <c r="BA73" s="288"/>
    </row>
    <row r="74" spans="45:53" s="246" customFormat="1" ht="15" x14ac:dyDescent="0.2">
      <c r="AS74" s="288" t="str">
        <f t="shared" si="9"/>
        <v/>
      </c>
      <c r="AT74" s="326">
        <f t="shared" si="12"/>
        <v>0</v>
      </c>
      <c r="AU74" s="326"/>
      <c r="AV74" s="326">
        <f t="shared" si="10"/>
        <v>0</v>
      </c>
      <c r="AW74" s="326">
        <f t="shared" si="13"/>
        <v>0</v>
      </c>
      <c r="AX74" s="288">
        <f t="shared" si="7"/>
        <v>0</v>
      </c>
      <c r="AY74" s="327">
        <f t="shared" si="8"/>
        <v>0</v>
      </c>
      <c r="AZ74" s="288">
        <f t="shared" si="11"/>
        <v>0</v>
      </c>
      <c r="BA74" s="288"/>
    </row>
    <row r="75" spans="45:53" s="246" customFormat="1" ht="15" x14ac:dyDescent="0.2">
      <c r="AS75" s="288" t="str">
        <f t="shared" si="9"/>
        <v/>
      </c>
      <c r="AT75" s="326">
        <f t="shared" si="12"/>
        <v>0</v>
      </c>
      <c r="AU75" s="326"/>
      <c r="AV75" s="326">
        <f t="shared" si="10"/>
        <v>0</v>
      </c>
      <c r="AW75" s="326">
        <f t="shared" si="13"/>
        <v>0</v>
      </c>
      <c r="AX75" s="288">
        <f t="shared" si="7"/>
        <v>0</v>
      </c>
      <c r="AY75" s="327">
        <f t="shared" si="8"/>
        <v>0</v>
      </c>
      <c r="AZ75" s="288">
        <f t="shared" si="11"/>
        <v>0</v>
      </c>
      <c r="BA75" s="288"/>
    </row>
    <row r="76" spans="45:53" s="246" customFormat="1" ht="15" x14ac:dyDescent="0.2">
      <c r="AS76" s="288" t="str">
        <f t="shared" si="9"/>
        <v/>
      </c>
      <c r="AT76" s="326">
        <f t="shared" si="12"/>
        <v>0</v>
      </c>
      <c r="AU76" s="326"/>
      <c r="AV76" s="326">
        <f t="shared" si="10"/>
        <v>0</v>
      </c>
      <c r="AW76" s="326">
        <f t="shared" si="13"/>
        <v>0</v>
      </c>
      <c r="AX76" s="288">
        <f t="shared" si="7"/>
        <v>0</v>
      </c>
      <c r="AY76" s="327">
        <f t="shared" si="8"/>
        <v>0</v>
      </c>
      <c r="AZ76" s="288">
        <f t="shared" si="11"/>
        <v>0</v>
      </c>
      <c r="BA76" s="288"/>
    </row>
    <row r="77" spans="45:53" s="246" customFormat="1" ht="15" x14ac:dyDescent="0.2">
      <c r="AS77" s="288" t="str">
        <f t="shared" si="9"/>
        <v/>
      </c>
      <c r="AT77" s="326">
        <f t="shared" si="12"/>
        <v>0</v>
      </c>
      <c r="AU77" s="326"/>
      <c r="AV77" s="326">
        <f t="shared" si="10"/>
        <v>0</v>
      </c>
      <c r="AW77" s="326">
        <f t="shared" si="13"/>
        <v>0</v>
      </c>
      <c r="AX77" s="288">
        <f t="shared" si="7"/>
        <v>0</v>
      </c>
      <c r="AY77" s="327">
        <f t="shared" si="8"/>
        <v>0</v>
      </c>
      <c r="AZ77" s="288">
        <f t="shared" si="11"/>
        <v>0</v>
      </c>
      <c r="BA77" s="288"/>
    </row>
    <row r="78" spans="45:53" s="246" customFormat="1" ht="15" x14ac:dyDescent="0.2">
      <c r="AS78" s="288" t="str">
        <f t="shared" si="9"/>
        <v/>
      </c>
      <c r="AT78" s="326">
        <f t="shared" si="12"/>
        <v>0</v>
      </c>
      <c r="AU78" s="326"/>
      <c r="AV78" s="326">
        <f t="shared" si="10"/>
        <v>0</v>
      </c>
      <c r="AW78" s="326">
        <f t="shared" si="13"/>
        <v>0</v>
      </c>
      <c r="AX78" s="288">
        <f t="shared" si="7"/>
        <v>0</v>
      </c>
      <c r="AY78" s="327">
        <f t="shared" si="8"/>
        <v>0</v>
      </c>
      <c r="AZ78" s="288">
        <f t="shared" si="11"/>
        <v>0</v>
      </c>
      <c r="BA78" s="288"/>
    </row>
    <row r="79" spans="45:53" s="246" customFormat="1" ht="15" x14ac:dyDescent="0.2">
      <c r="AS79" s="288" t="str">
        <f t="shared" si="9"/>
        <v/>
      </c>
      <c r="AT79" s="326">
        <f t="shared" si="12"/>
        <v>0</v>
      </c>
      <c r="AU79" s="326"/>
      <c r="AV79" s="326">
        <f t="shared" si="10"/>
        <v>0</v>
      </c>
      <c r="AW79" s="326">
        <f t="shared" si="13"/>
        <v>0</v>
      </c>
      <c r="AX79" s="288">
        <f t="shared" si="7"/>
        <v>0</v>
      </c>
      <c r="AY79" s="327">
        <f t="shared" si="8"/>
        <v>0</v>
      </c>
      <c r="AZ79" s="288">
        <f t="shared" si="11"/>
        <v>0</v>
      </c>
      <c r="BA79" s="288"/>
    </row>
    <row r="80" spans="45:53" s="246" customFormat="1" ht="15" x14ac:dyDescent="0.2">
      <c r="AS80" s="288" t="str">
        <f t="shared" si="9"/>
        <v/>
      </c>
      <c r="AT80" s="326">
        <f t="shared" si="12"/>
        <v>0</v>
      </c>
      <c r="AU80" s="326"/>
      <c r="AV80" s="326">
        <f t="shared" si="10"/>
        <v>0</v>
      </c>
      <c r="AW80" s="326">
        <f t="shared" si="13"/>
        <v>0</v>
      </c>
      <c r="AX80" s="288">
        <f t="shared" si="7"/>
        <v>0</v>
      </c>
      <c r="AY80" s="327">
        <f t="shared" si="8"/>
        <v>0</v>
      </c>
      <c r="AZ80" s="288">
        <f t="shared" si="11"/>
        <v>0</v>
      </c>
      <c r="BA80" s="288"/>
    </row>
    <row r="81" spans="45:53" s="246" customFormat="1" ht="15" x14ac:dyDescent="0.2">
      <c r="AS81" s="288" t="str">
        <f t="shared" si="9"/>
        <v/>
      </c>
      <c r="AT81" s="326">
        <f t="shared" si="12"/>
        <v>0</v>
      </c>
      <c r="AU81" s="326"/>
      <c r="AV81" s="326">
        <f t="shared" si="10"/>
        <v>0</v>
      </c>
      <c r="AW81" s="326">
        <f t="shared" si="13"/>
        <v>0</v>
      </c>
      <c r="AX81" s="288">
        <f t="shared" si="7"/>
        <v>0</v>
      </c>
      <c r="AY81" s="327">
        <f t="shared" si="8"/>
        <v>0</v>
      </c>
      <c r="AZ81" s="288">
        <f t="shared" si="11"/>
        <v>0</v>
      </c>
      <c r="BA81" s="288"/>
    </row>
    <row r="82" spans="45:53" s="246" customFormat="1" ht="15" x14ac:dyDescent="0.2">
      <c r="AS82" s="288" t="str">
        <f t="shared" si="9"/>
        <v/>
      </c>
      <c r="AT82" s="326">
        <f t="shared" si="12"/>
        <v>0</v>
      </c>
      <c r="AU82" s="326"/>
      <c r="AV82" s="326">
        <f t="shared" si="10"/>
        <v>0</v>
      </c>
      <c r="AW82" s="326">
        <f t="shared" si="13"/>
        <v>0</v>
      </c>
      <c r="AX82" s="288">
        <f t="shared" ref="AX82:AX114" si="14">IF(ISNUMBER(AS83),SUM(AU82:AV82),SUM(AU82:AW82))</f>
        <v>0</v>
      </c>
      <c r="AY82" s="327">
        <f t="shared" si="8"/>
        <v>0</v>
      </c>
      <c r="AZ82" s="288">
        <f t="shared" si="11"/>
        <v>0</v>
      </c>
      <c r="BA82" s="288"/>
    </row>
    <row r="83" spans="45:53" s="246" customFormat="1" ht="15" x14ac:dyDescent="0.2">
      <c r="AS83" s="288" t="str">
        <f t="shared" si="9"/>
        <v/>
      </c>
      <c r="AT83" s="326">
        <f t="shared" si="12"/>
        <v>0</v>
      </c>
      <c r="AU83" s="326"/>
      <c r="AV83" s="326">
        <f t="shared" si="10"/>
        <v>0</v>
      </c>
      <c r="AW83" s="326">
        <f t="shared" si="13"/>
        <v>0</v>
      </c>
      <c r="AX83" s="288">
        <f t="shared" si="14"/>
        <v>0</v>
      </c>
      <c r="AY83" s="327">
        <f t="shared" si="8"/>
        <v>0</v>
      </c>
      <c r="AZ83" s="288">
        <f t="shared" si="11"/>
        <v>0</v>
      </c>
      <c r="BA83" s="288"/>
    </row>
    <row r="84" spans="45:53" s="246" customFormat="1" ht="15" x14ac:dyDescent="0.2">
      <c r="AS84" s="288" t="str">
        <f t="shared" si="9"/>
        <v/>
      </c>
      <c r="AT84" s="326">
        <f t="shared" si="12"/>
        <v>0</v>
      </c>
      <c r="AU84" s="326"/>
      <c r="AV84" s="326">
        <f t="shared" si="10"/>
        <v>0</v>
      </c>
      <c r="AW84" s="326">
        <f t="shared" si="13"/>
        <v>0</v>
      </c>
      <c r="AX84" s="288">
        <f t="shared" si="14"/>
        <v>0</v>
      </c>
      <c r="AY84" s="327">
        <f t="shared" si="8"/>
        <v>0</v>
      </c>
      <c r="AZ84" s="288">
        <f t="shared" si="11"/>
        <v>0</v>
      </c>
      <c r="BA84" s="288"/>
    </row>
    <row r="85" spans="45:53" s="246" customFormat="1" ht="15" x14ac:dyDescent="0.2">
      <c r="AS85" s="288" t="str">
        <f t="shared" si="9"/>
        <v/>
      </c>
      <c r="AT85" s="326">
        <f t="shared" si="12"/>
        <v>0</v>
      </c>
      <c r="AU85" s="326"/>
      <c r="AV85" s="326">
        <f t="shared" si="10"/>
        <v>0</v>
      </c>
      <c r="AW85" s="326">
        <f t="shared" si="13"/>
        <v>0</v>
      </c>
      <c r="AX85" s="288">
        <f t="shared" si="14"/>
        <v>0</v>
      </c>
      <c r="AY85" s="327">
        <f t="shared" si="8"/>
        <v>0</v>
      </c>
      <c r="AZ85" s="288">
        <f t="shared" si="11"/>
        <v>0</v>
      </c>
      <c r="BA85" s="288"/>
    </row>
    <row r="86" spans="45:53" s="246" customFormat="1" ht="15" x14ac:dyDescent="0.2">
      <c r="AS86" s="288" t="str">
        <f t="shared" si="9"/>
        <v/>
      </c>
      <c r="AT86" s="326">
        <f t="shared" si="12"/>
        <v>0</v>
      </c>
      <c r="AU86" s="326"/>
      <c r="AV86" s="326">
        <f t="shared" si="10"/>
        <v>0</v>
      </c>
      <c r="AW86" s="326">
        <f t="shared" si="13"/>
        <v>0</v>
      </c>
      <c r="AX86" s="288">
        <f t="shared" si="14"/>
        <v>0</v>
      </c>
      <c r="AY86" s="327">
        <f t="shared" si="8"/>
        <v>0</v>
      </c>
      <c r="AZ86" s="288">
        <f t="shared" si="11"/>
        <v>0</v>
      </c>
      <c r="BA86" s="288"/>
    </row>
    <row r="87" spans="45:53" s="246" customFormat="1" ht="15" x14ac:dyDescent="0.2">
      <c r="AS87" s="288" t="str">
        <f t="shared" si="9"/>
        <v/>
      </c>
      <c r="AT87" s="326">
        <f t="shared" si="12"/>
        <v>0</v>
      </c>
      <c r="AU87" s="326"/>
      <c r="AV87" s="326">
        <f t="shared" si="10"/>
        <v>0</v>
      </c>
      <c r="AW87" s="326">
        <f t="shared" si="13"/>
        <v>0</v>
      </c>
      <c r="AX87" s="288">
        <f t="shared" si="14"/>
        <v>0</v>
      </c>
      <c r="AY87" s="327">
        <f t="shared" si="8"/>
        <v>0</v>
      </c>
      <c r="AZ87" s="288">
        <f t="shared" si="11"/>
        <v>0</v>
      </c>
      <c r="BA87" s="288"/>
    </row>
    <row r="88" spans="45:53" s="246" customFormat="1" ht="15" x14ac:dyDescent="0.2">
      <c r="AS88" s="288" t="str">
        <f t="shared" si="9"/>
        <v/>
      </c>
      <c r="AT88" s="326">
        <f t="shared" si="12"/>
        <v>0</v>
      </c>
      <c r="AU88" s="326"/>
      <c r="AV88" s="326">
        <f t="shared" si="10"/>
        <v>0</v>
      </c>
      <c r="AW88" s="326">
        <f t="shared" si="13"/>
        <v>0</v>
      </c>
      <c r="AX88" s="288">
        <f t="shared" si="14"/>
        <v>0</v>
      </c>
      <c r="AY88" s="327">
        <f t="shared" si="8"/>
        <v>0</v>
      </c>
      <c r="AZ88" s="288">
        <f t="shared" si="11"/>
        <v>0</v>
      </c>
      <c r="BA88" s="288"/>
    </row>
    <row r="89" spans="45:53" s="246" customFormat="1" ht="15" x14ac:dyDescent="0.2">
      <c r="AS89" s="288" t="str">
        <f t="shared" si="9"/>
        <v/>
      </c>
      <c r="AT89" s="326">
        <f t="shared" si="12"/>
        <v>0</v>
      </c>
      <c r="AU89" s="326"/>
      <c r="AV89" s="326">
        <f t="shared" si="10"/>
        <v>0</v>
      </c>
      <c r="AW89" s="326">
        <f t="shared" si="13"/>
        <v>0</v>
      </c>
      <c r="AX89" s="288">
        <f t="shared" si="14"/>
        <v>0</v>
      </c>
      <c r="AY89" s="327">
        <f t="shared" si="8"/>
        <v>0</v>
      </c>
      <c r="AZ89" s="288">
        <f t="shared" si="11"/>
        <v>0</v>
      </c>
      <c r="BA89" s="288"/>
    </row>
    <row r="90" spans="45:53" s="246" customFormat="1" ht="15" x14ac:dyDescent="0.2">
      <c r="AS90" s="288" t="str">
        <f t="shared" si="9"/>
        <v/>
      </c>
      <c r="AT90" s="326">
        <f t="shared" si="12"/>
        <v>0</v>
      </c>
      <c r="AU90" s="326"/>
      <c r="AV90" s="326">
        <f t="shared" si="10"/>
        <v>0</v>
      </c>
      <c r="AW90" s="326">
        <f t="shared" si="13"/>
        <v>0</v>
      </c>
      <c r="AX90" s="288">
        <f t="shared" si="14"/>
        <v>0</v>
      </c>
      <c r="AY90" s="327">
        <f t="shared" si="8"/>
        <v>0</v>
      </c>
      <c r="AZ90" s="288">
        <f t="shared" si="11"/>
        <v>0</v>
      </c>
      <c r="BA90" s="288"/>
    </row>
    <row r="91" spans="45:53" s="246" customFormat="1" ht="15" x14ac:dyDescent="0.2">
      <c r="AS91" s="288" t="str">
        <f t="shared" si="9"/>
        <v/>
      </c>
      <c r="AT91" s="326">
        <f t="shared" si="12"/>
        <v>0</v>
      </c>
      <c r="AU91" s="326"/>
      <c r="AV91" s="326">
        <f t="shared" si="10"/>
        <v>0</v>
      </c>
      <c r="AW91" s="326">
        <f t="shared" si="13"/>
        <v>0</v>
      </c>
      <c r="AX91" s="288">
        <f t="shared" si="14"/>
        <v>0</v>
      </c>
      <c r="AY91" s="327">
        <f t="shared" si="8"/>
        <v>0</v>
      </c>
      <c r="AZ91" s="288">
        <f t="shared" si="11"/>
        <v>0</v>
      </c>
      <c r="BA91" s="288"/>
    </row>
    <row r="92" spans="45:53" s="246" customFormat="1" ht="15" x14ac:dyDescent="0.2">
      <c r="AS92" s="288" t="str">
        <f t="shared" si="9"/>
        <v/>
      </c>
      <c r="AT92" s="326">
        <f t="shared" si="12"/>
        <v>0</v>
      </c>
      <c r="AU92" s="326"/>
      <c r="AV92" s="326">
        <f t="shared" si="10"/>
        <v>0</v>
      </c>
      <c r="AW92" s="326">
        <f t="shared" si="13"/>
        <v>0</v>
      </c>
      <c r="AX92" s="288">
        <f t="shared" si="14"/>
        <v>0</v>
      </c>
      <c r="AY92" s="327">
        <f t="shared" si="8"/>
        <v>0</v>
      </c>
      <c r="AZ92" s="288">
        <f t="shared" si="11"/>
        <v>0</v>
      </c>
      <c r="BA92" s="288"/>
    </row>
    <row r="93" spans="45:53" s="246" customFormat="1" ht="15" x14ac:dyDescent="0.2">
      <c r="AS93" s="288" t="str">
        <f t="shared" si="9"/>
        <v/>
      </c>
      <c r="AT93" s="326">
        <f t="shared" si="12"/>
        <v>0</v>
      </c>
      <c r="AU93" s="326"/>
      <c r="AV93" s="326">
        <f t="shared" si="10"/>
        <v>0</v>
      </c>
      <c r="AW93" s="326">
        <f t="shared" si="13"/>
        <v>0</v>
      </c>
      <c r="AX93" s="288">
        <f t="shared" si="14"/>
        <v>0</v>
      </c>
      <c r="AY93" s="327">
        <f t="shared" si="8"/>
        <v>0</v>
      </c>
      <c r="AZ93" s="288">
        <f t="shared" si="11"/>
        <v>0</v>
      </c>
      <c r="BA93" s="288"/>
    </row>
    <row r="94" spans="45:53" s="246" customFormat="1" ht="15" x14ac:dyDescent="0.2">
      <c r="AS94" s="288" t="str">
        <f t="shared" si="9"/>
        <v/>
      </c>
      <c r="AT94" s="326">
        <f t="shared" si="12"/>
        <v>0</v>
      </c>
      <c r="AU94" s="326"/>
      <c r="AV94" s="326">
        <f t="shared" si="10"/>
        <v>0</v>
      </c>
      <c r="AW94" s="326">
        <f t="shared" si="13"/>
        <v>0</v>
      </c>
      <c r="AX94" s="288">
        <f t="shared" si="14"/>
        <v>0</v>
      </c>
      <c r="AY94" s="327">
        <f t="shared" si="8"/>
        <v>0</v>
      </c>
      <c r="AZ94" s="288">
        <f t="shared" si="11"/>
        <v>0</v>
      </c>
      <c r="BA94" s="288"/>
    </row>
    <row r="95" spans="45:53" s="246" customFormat="1" ht="15" x14ac:dyDescent="0.2">
      <c r="AS95" s="288" t="str">
        <f t="shared" si="9"/>
        <v/>
      </c>
      <c r="AT95" s="326">
        <f t="shared" si="12"/>
        <v>0</v>
      </c>
      <c r="AU95" s="326"/>
      <c r="AV95" s="326">
        <f t="shared" si="10"/>
        <v>0</v>
      </c>
      <c r="AW95" s="326">
        <f t="shared" si="13"/>
        <v>0</v>
      </c>
      <c r="AX95" s="288">
        <f t="shared" si="14"/>
        <v>0</v>
      </c>
      <c r="AY95" s="327">
        <f t="shared" si="8"/>
        <v>0</v>
      </c>
      <c r="AZ95" s="288">
        <f t="shared" si="11"/>
        <v>0</v>
      </c>
      <c r="BA95" s="288"/>
    </row>
    <row r="96" spans="45:53" s="246" customFormat="1" ht="15" x14ac:dyDescent="0.2">
      <c r="AS96" s="288" t="str">
        <f t="shared" si="9"/>
        <v/>
      </c>
      <c r="AT96" s="326">
        <f t="shared" si="12"/>
        <v>0</v>
      </c>
      <c r="AU96" s="326"/>
      <c r="AV96" s="326">
        <f t="shared" si="10"/>
        <v>0</v>
      </c>
      <c r="AW96" s="326">
        <f t="shared" si="13"/>
        <v>0</v>
      </c>
      <c r="AX96" s="288">
        <f t="shared" si="14"/>
        <v>0</v>
      </c>
      <c r="AY96" s="327">
        <f t="shared" si="8"/>
        <v>0</v>
      </c>
      <c r="AZ96" s="288">
        <f t="shared" si="11"/>
        <v>0</v>
      </c>
      <c r="BA96" s="288"/>
    </row>
    <row r="97" spans="45:53" s="246" customFormat="1" ht="15" x14ac:dyDescent="0.2">
      <c r="AS97" s="288" t="str">
        <f t="shared" si="9"/>
        <v/>
      </c>
      <c r="AT97" s="326">
        <f t="shared" si="12"/>
        <v>0</v>
      </c>
      <c r="AU97" s="326"/>
      <c r="AV97" s="326">
        <f t="shared" si="10"/>
        <v>0</v>
      </c>
      <c r="AW97" s="326">
        <f t="shared" si="13"/>
        <v>0</v>
      </c>
      <c r="AX97" s="288">
        <f t="shared" si="14"/>
        <v>0</v>
      </c>
      <c r="AY97" s="327">
        <f t="shared" si="8"/>
        <v>0</v>
      </c>
      <c r="AZ97" s="288">
        <f t="shared" si="11"/>
        <v>0</v>
      </c>
      <c r="BA97" s="288"/>
    </row>
    <row r="98" spans="45:53" s="246" customFormat="1" ht="15" x14ac:dyDescent="0.2">
      <c r="AS98" s="288" t="str">
        <f t="shared" si="9"/>
        <v/>
      </c>
      <c r="AT98" s="326">
        <f t="shared" si="12"/>
        <v>0</v>
      </c>
      <c r="AU98" s="326"/>
      <c r="AV98" s="326">
        <f t="shared" si="10"/>
        <v>0</v>
      </c>
      <c r="AW98" s="326">
        <f t="shared" si="13"/>
        <v>0</v>
      </c>
      <c r="AX98" s="288">
        <f t="shared" si="14"/>
        <v>0</v>
      </c>
      <c r="AY98" s="327">
        <f t="shared" si="8"/>
        <v>0</v>
      </c>
      <c r="AZ98" s="288">
        <f t="shared" si="11"/>
        <v>0</v>
      </c>
      <c r="BA98" s="288"/>
    </row>
    <row r="99" spans="45:53" s="246" customFormat="1" ht="15" x14ac:dyDescent="0.2">
      <c r="AS99" s="288" t="str">
        <f t="shared" si="9"/>
        <v/>
      </c>
      <c r="AT99" s="326">
        <f t="shared" si="12"/>
        <v>0</v>
      </c>
      <c r="AU99" s="326"/>
      <c r="AV99" s="326">
        <f t="shared" si="10"/>
        <v>0</v>
      </c>
      <c r="AW99" s="326">
        <f t="shared" si="13"/>
        <v>0</v>
      </c>
      <c r="AX99" s="288">
        <f t="shared" si="14"/>
        <v>0</v>
      </c>
      <c r="AY99" s="327">
        <f t="shared" si="8"/>
        <v>0</v>
      </c>
      <c r="AZ99" s="288">
        <f t="shared" si="11"/>
        <v>0</v>
      </c>
      <c r="BA99" s="288"/>
    </row>
    <row r="100" spans="45:53" s="246" customFormat="1" ht="15" x14ac:dyDescent="0.2">
      <c r="AS100" s="288" t="str">
        <f t="shared" si="9"/>
        <v/>
      </c>
      <c r="AT100" s="326">
        <f t="shared" si="12"/>
        <v>0</v>
      </c>
      <c r="AU100" s="326"/>
      <c r="AV100" s="326">
        <f t="shared" si="10"/>
        <v>0</v>
      </c>
      <c r="AW100" s="326">
        <f t="shared" si="13"/>
        <v>0</v>
      </c>
      <c r="AX100" s="288">
        <f t="shared" si="14"/>
        <v>0</v>
      </c>
      <c r="AY100" s="327">
        <f t="shared" si="8"/>
        <v>0</v>
      </c>
      <c r="AZ100" s="288">
        <f t="shared" si="11"/>
        <v>0</v>
      </c>
      <c r="BA100" s="288"/>
    </row>
    <row r="101" spans="45:53" s="246" customFormat="1" ht="15" x14ac:dyDescent="0.2">
      <c r="AS101" s="288" t="str">
        <f t="shared" si="9"/>
        <v/>
      </c>
      <c r="AT101" s="326">
        <f t="shared" si="12"/>
        <v>0</v>
      </c>
      <c r="AU101" s="326"/>
      <c r="AV101" s="326">
        <f t="shared" si="10"/>
        <v>0</v>
      </c>
      <c r="AW101" s="326">
        <f t="shared" si="13"/>
        <v>0</v>
      </c>
      <c r="AX101" s="288">
        <f t="shared" si="14"/>
        <v>0</v>
      </c>
      <c r="AY101" s="327">
        <f t="shared" si="8"/>
        <v>0</v>
      </c>
      <c r="AZ101" s="288">
        <f t="shared" si="11"/>
        <v>0</v>
      </c>
      <c r="BA101" s="288"/>
    </row>
    <row r="102" spans="45:53" s="246" customFormat="1" ht="15" x14ac:dyDescent="0.2">
      <c r="AS102" s="288" t="str">
        <f t="shared" si="9"/>
        <v/>
      </c>
      <c r="AT102" s="326">
        <f t="shared" si="12"/>
        <v>0</v>
      </c>
      <c r="AU102" s="326"/>
      <c r="AV102" s="326">
        <f t="shared" si="10"/>
        <v>0</v>
      </c>
      <c r="AW102" s="326">
        <f t="shared" si="13"/>
        <v>0</v>
      </c>
      <c r="AX102" s="288">
        <f t="shared" si="14"/>
        <v>0</v>
      </c>
      <c r="AY102" s="327">
        <f t="shared" si="8"/>
        <v>0</v>
      </c>
      <c r="AZ102" s="288">
        <f t="shared" si="11"/>
        <v>0</v>
      </c>
      <c r="BA102" s="288"/>
    </row>
    <row r="103" spans="45:53" s="246" customFormat="1" ht="15" x14ac:dyDescent="0.2">
      <c r="AS103" s="288" t="str">
        <f t="shared" si="9"/>
        <v/>
      </c>
      <c r="AT103" s="326">
        <f t="shared" si="12"/>
        <v>0</v>
      </c>
      <c r="AU103" s="326"/>
      <c r="AV103" s="326">
        <f t="shared" si="10"/>
        <v>0</v>
      </c>
      <c r="AW103" s="326">
        <f t="shared" si="13"/>
        <v>0</v>
      </c>
      <c r="AX103" s="288">
        <f t="shared" si="14"/>
        <v>0</v>
      </c>
      <c r="AY103" s="327">
        <f t="shared" ref="AY103:AY114" si="15">LN(AX103+$J$37)-LN($J$37)</f>
        <v>0</v>
      </c>
      <c r="AZ103" s="288">
        <f t="shared" si="11"/>
        <v>0</v>
      </c>
      <c r="BA103" s="288"/>
    </row>
    <row r="104" spans="45:53" s="246" customFormat="1" ht="15" x14ac:dyDescent="0.2">
      <c r="AS104" s="288" t="str">
        <f t="shared" si="9"/>
        <v/>
      </c>
      <c r="AT104" s="326">
        <f t="shared" si="12"/>
        <v>0</v>
      </c>
      <c r="AU104" s="326"/>
      <c r="AV104" s="326">
        <f t="shared" si="10"/>
        <v>0</v>
      </c>
      <c r="AW104" s="326">
        <f t="shared" si="13"/>
        <v>0</v>
      </c>
      <c r="AX104" s="288">
        <f t="shared" si="14"/>
        <v>0</v>
      </c>
      <c r="AY104" s="327">
        <f t="shared" si="15"/>
        <v>0</v>
      </c>
      <c r="AZ104" s="288">
        <f t="shared" si="11"/>
        <v>0</v>
      </c>
      <c r="BA104" s="288"/>
    </row>
    <row r="105" spans="45:53" s="246" customFormat="1" ht="15" x14ac:dyDescent="0.2">
      <c r="AS105" s="288" t="str">
        <f t="shared" si="9"/>
        <v/>
      </c>
      <c r="AT105" s="326">
        <f t="shared" si="12"/>
        <v>0</v>
      </c>
      <c r="AU105" s="326"/>
      <c r="AV105" s="326">
        <f t="shared" si="10"/>
        <v>0</v>
      </c>
      <c r="AW105" s="326">
        <f t="shared" si="13"/>
        <v>0</v>
      </c>
      <c r="AX105" s="288">
        <f t="shared" si="14"/>
        <v>0</v>
      </c>
      <c r="AY105" s="327">
        <f t="shared" si="15"/>
        <v>0</v>
      </c>
      <c r="AZ105" s="288">
        <f t="shared" si="11"/>
        <v>0</v>
      </c>
      <c r="BA105" s="288"/>
    </row>
    <row r="106" spans="45:53" s="246" customFormat="1" ht="15" x14ac:dyDescent="0.2">
      <c r="AS106" s="288" t="str">
        <f t="shared" si="9"/>
        <v/>
      </c>
      <c r="AT106" s="326">
        <f t="shared" si="12"/>
        <v>0</v>
      </c>
      <c r="AU106" s="326"/>
      <c r="AV106" s="326">
        <f t="shared" si="10"/>
        <v>0</v>
      </c>
      <c r="AW106" s="326">
        <f t="shared" si="13"/>
        <v>0</v>
      </c>
      <c r="AX106" s="288">
        <f t="shared" si="14"/>
        <v>0</v>
      </c>
      <c r="AY106" s="327">
        <f t="shared" si="15"/>
        <v>0</v>
      </c>
      <c r="AZ106" s="288">
        <f t="shared" si="11"/>
        <v>0</v>
      </c>
      <c r="BA106" s="288"/>
    </row>
    <row r="107" spans="45:53" s="246" customFormat="1" ht="15" x14ac:dyDescent="0.2">
      <c r="AS107" s="288" t="str">
        <f t="shared" si="9"/>
        <v/>
      </c>
      <c r="AT107" s="326">
        <f t="shared" si="12"/>
        <v>0</v>
      </c>
      <c r="AU107" s="326"/>
      <c r="AV107" s="326">
        <f t="shared" si="10"/>
        <v>0</v>
      </c>
      <c r="AW107" s="326">
        <f t="shared" si="13"/>
        <v>0</v>
      </c>
      <c r="AX107" s="288">
        <f t="shared" si="14"/>
        <v>0</v>
      </c>
      <c r="AY107" s="327">
        <f t="shared" si="15"/>
        <v>0</v>
      </c>
      <c r="AZ107" s="288">
        <f t="shared" si="11"/>
        <v>0</v>
      </c>
      <c r="BA107" s="288"/>
    </row>
    <row r="108" spans="45:53" s="246" customFormat="1" ht="15" x14ac:dyDescent="0.2">
      <c r="AS108" s="288" t="str">
        <f t="shared" si="9"/>
        <v/>
      </c>
      <c r="AT108" s="326">
        <f t="shared" si="12"/>
        <v>0</v>
      </c>
      <c r="AU108" s="326"/>
      <c r="AV108" s="326">
        <f t="shared" si="10"/>
        <v>0</v>
      </c>
      <c r="AW108" s="326">
        <f t="shared" si="13"/>
        <v>0</v>
      </c>
      <c r="AX108" s="288">
        <f t="shared" si="14"/>
        <v>0</v>
      </c>
      <c r="AY108" s="327">
        <f t="shared" si="15"/>
        <v>0</v>
      </c>
      <c r="AZ108" s="288">
        <f t="shared" si="11"/>
        <v>0</v>
      </c>
      <c r="BA108" s="288"/>
    </row>
    <row r="109" spans="45:53" s="246" customFormat="1" ht="15" x14ac:dyDescent="0.2">
      <c r="AS109" s="288" t="str">
        <f t="shared" si="9"/>
        <v/>
      </c>
      <c r="AT109" s="326">
        <f t="shared" si="12"/>
        <v>0</v>
      </c>
      <c r="AU109" s="326"/>
      <c r="AV109" s="326">
        <f t="shared" si="10"/>
        <v>0</v>
      </c>
      <c r="AW109" s="326">
        <f t="shared" si="13"/>
        <v>0</v>
      </c>
      <c r="AX109" s="288">
        <f t="shared" si="14"/>
        <v>0</v>
      </c>
      <c r="AY109" s="327">
        <f t="shared" si="15"/>
        <v>0</v>
      </c>
      <c r="AZ109" s="288">
        <f t="shared" si="11"/>
        <v>0</v>
      </c>
      <c r="BA109" s="288"/>
    </row>
    <row r="110" spans="45:53" s="246" customFormat="1" ht="15" x14ac:dyDescent="0.2">
      <c r="AS110" s="288" t="str">
        <f t="shared" si="9"/>
        <v/>
      </c>
      <c r="AT110" s="326">
        <f t="shared" si="12"/>
        <v>0</v>
      </c>
      <c r="AU110" s="326"/>
      <c r="AV110" s="326">
        <f t="shared" si="10"/>
        <v>0</v>
      </c>
      <c r="AW110" s="326">
        <f t="shared" si="13"/>
        <v>0</v>
      </c>
      <c r="AX110" s="288">
        <f t="shared" si="14"/>
        <v>0</v>
      </c>
      <c r="AY110" s="327">
        <f t="shared" si="15"/>
        <v>0</v>
      </c>
      <c r="AZ110" s="288">
        <f t="shared" si="11"/>
        <v>0</v>
      </c>
      <c r="BA110" s="288"/>
    </row>
    <row r="111" spans="45:53" s="246" customFormat="1" ht="15" x14ac:dyDescent="0.2">
      <c r="AS111" s="288" t="str">
        <f t="shared" si="9"/>
        <v/>
      </c>
      <c r="AT111" s="326">
        <f t="shared" si="12"/>
        <v>0</v>
      </c>
      <c r="AU111" s="326"/>
      <c r="AV111" s="326">
        <f t="shared" si="10"/>
        <v>0</v>
      </c>
      <c r="AW111" s="326">
        <f t="shared" si="13"/>
        <v>0</v>
      </c>
      <c r="AX111" s="288">
        <f t="shared" si="14"/>
        <v>0</v>
      </c>
      <c r="AY111" s="327">
        <f t="shared" si="15"/>
        <v>0</v>
      </c>
      <c r="AZ111" s="288">
        <f t="shared" si="11"/>
        <v>0</v>
      </c>
      <c r="BA111" s="288"/>
    </row>
    <row r="112" spans="45:53" s="246" customFormat="1" ht="15" x14ac:dyDescent="0.2">
      <c r="AS112" s="288" t="str">
        <f t="shared" si="9"/>
        <v/>
      </c>
      <c r="AT112" s="326">
        <f t="shared" si="12"/>
        <v>0</v>
      </c>
      <c r="AU112" s="326"/>
      <c r="AV112" s="326">
        <f t="shared" si="10"/>
        <v>0</v>
      </c>
      <c r="AW112" s="326">
        <f t="shared" si="13"/>
        <v>0</v>
      </c>
      <c r="AX112" s="288">
        <f t="shared" si="14"/>
        <v>0</v>
      </c>
      <c r="AY112" s="327">
        <f t="shared" si="15"/>
        <v>0</v>
      </c>
      <c r="AZ112" s="288">
        <f t="shared" si="11"/>
        <v>0</v>
      </c>
      <c r="BA112" s="288"/>
    </row>
    <row r="113" spans="45:53" s="246" customFormat="1" ht="15" x14ac:dyDescent="0.2">
      <c r="AS113" s="288" t="str">
        <f t="shared" si="9"/>
        <v/>
      </c>
      <c r="AT113" s="326">
        <f t="shared" si="12"/>
        <v>0</v>
      </c>
      <c r="AU113" s="326"/>
      <c r="AV113" s="326">
        <f t="shared" si="10"/>
        <v>0</v>
      </c>
      <c r="AW113" s="326">
        <f t="shared" si="13"/>
        <v>0</v>
      </c>
      <c r="AX113" s="288">
        <f t="shared" si="14"/>
        <v>0</v>
      </c>
      <c r="AY113" s="327">
        <f t="shared" si="15"/>
        <v>0</v>
      </c>
      <c r="AZ113" s="288">
        <f t="shared" si="11"/>
        <v>0</v>
      </c>
      <c r="BA113" s="288"/>
    </row>
    <row r="114" spans="45:53" s="246" customFormat="1" ht="15" x14ac:dyDescent="0.2">
      <c r="AS114" s="288" t="str">
        <f t="shared" si="9"/>
        <v/>
      </c>
      <c r="AT114" s="326">
        <f t="shared" si="12"/>
        <v>0</v>
      </c>
      <c r="AU114" s="326"/>
      <c r="AV114" s="326">
        <f t="shared" si="10"/>
        <v>0</v>
      </c>
      <c r="AW114" s="326">
        <f t="shared" si="13"/>
        <v>0</v>
      </c>
      <c r="AX114" s="288">
        <f t="shared" si="14"/>
        <v>0</v>
      </c>
      <c r="AY114" s="327">
        <f t="shared" si="15"/>
        <v>0</v>
      </c>
      <c r="AZ114" s="288">
        <f t="shared" si="11"/>
        <v>0</v>
      </c>
      <c r="BA114" s="288"/>
    </row>
    <row r="115" spans="45:53" s="246" customFormat="1" ht="15" x14ac:dyDescent="0.2">
      <c r="BA115" s="288"/>
    </row>
    <row r="116" spans="45:53" s="246" customFormat="1" ht="15" x14ac:dyDescent="0.2">
      <c r="BA116" s="288"/>
    </row>
    <row r="117" spans="45:53" s="246" customFormat="1" ht="15" x14ac:dyDescent="0.2">
      <c r="BA117" s="288"/>
    </row>
    <row r="118" spans="45:53" s="246" customFormat="1" ht="15" x14ac:dyDescent="0.2">
      <c r="BA118" s="288"/>
    </row>
    <row r="119" spans="45:53" ht="15" x14ac:dyDescent="0.2">
      <c r="BA119" s="232"/>
    </row>
  </sheetData>
  <mergeCells count="68">
    <mergeCell ref="J37:N37"/>
    <mergeCell ref="O37:P37"/>
    <mergeCell ref="D38:G38"/>
    <mergeCell ref="R38:T38"/>
    <mergeCell ref="B23:E26"/>
    <mergeCell ref="F31:F34"/>
    <mergeCell ref="R33:V33"/>
    <mergeCell ref="B36:B38"/>
    <mergeCell ref="D36:F36"/>
    <mergeCell ref="H36:I36"/>
    <mergeCell ref="J36:N36"/>
    <mergeCell ref="O36:P36"/>
    <mergeCell ref="D37:F37"/>
    <mergeCell ref="H37:I37"/>
    <mergeCell ref="L17:M17"/>
    <mergeCell ref="T17:U17"/>
    <mergeCell ref="T18:U18"/>
    <mergeCell ref="T19:U19"/>
    <mergeCell ref="F21:F24"/>
    <mergeCell ref="Q21:Q25"/>
    <mergeCell ref="R21:S22"/>
    <mergeCell ref="U21:W22"/>
    <mergeCell ref="Q13:Q14"/>
    <mergeCell ref="T13:U13"/>
    <mergeCell ref="V13:W13"/>
    <mergeCell ref="B14:B18"/>
    <mergeCell ref="C14:C15"/>
    <mergeCell ref="D14:D15"/>
    <mergeCell ref="F14:F15"/>
    <mergeCell ref="G14:G15"/>
    <mergeCell ref="T14:U14"/>
    <mergeCell ref="V14:W14"/>
    <mergeCell ref="T15:U15"/>
    <mergeCell ref="C16:C17"/>
    <mergeCell ref="D16:D17"/>
    <mergeCell ref="F16:F17"/>
    <mergeCell ref="G16:G17"/>
    <mergeCell ref="T16:U16"/>
    <mergeCell ref="V10:W10"/>
    <mergeCell ref="Z10:AA10"/>
    <mergeCell ref="T11:U11"/>
    <mergeCell ref="V11:W11"/>
    <mergeCell ref="T12:U12"/>
    <mergeCell ref="V12:W12"/>
    <mergeCell ref="AE6:AE7"/>
    <mergeCell ref="B7:B11"/>
    <mergeCell ref="Q8:Q11"/>
    <mergeCell ref="T8:U8"/>
    <mergeCell ref="V8:W8"/>
    <mergeCell ref="C9:D9"/>
    <mergeCell ref="T9:U9"/>
    <mergeCell ref="V9:W9"/>
    <mergeCell ref="Z9:AA9"/>
    <mergeCell ref="T10:U10"/>
    <mergeCell ref="C6:D6"/>
    <mergeCell ref="I6:J6"/>
    <mergeCell ref="L6:M6"/>
    <mergeCell ref="T6:U6"/>
    <mergeCell ref="V6:W6"/>
    <mergeCell ref="AD6:AD7"/>
    <mergeCell ref="S2:T3"/>
    <mergeCell ref="Z2:AB3"/>
    <mergeCell ref="B4:D5"/>
    <mergeCell ref="F4:G5"/>
    <mergeCell ref="T4:U4"/>
    <mergeCell ref="V4:W4"/>
    <mergeCell ref="T5:U5"/>
    <mergeCell ref="V5:W5"/>
  </mergeCells>
  <phoneticPr fontId="49" type="noConversion"/>
  <dataValidations count="3">
    <dataValidation type="list" allowBlank="1" showInputMessage="1" sqref="K9">
      <formula1>$C$30:$G$30</formula1>
    </dataValidation>
    <dataValidation type="list" allowBlank="1" showInputMessage="1" sqref="K14">
      <formula1>$C$21:$G$21</formula1>
    </dataValidation>
    <dataValidation type="list" allowBlank="1" showInputMessage="1" sqref="K15">
      <formula1>$C$28:$G$28</formula1>
    </dataValidation>
  </dataValidations>
  <hyperlinks>
    <hyperlink ref="H38" r:id="rId1" location="Grantstructure"/>
  </hyperlinks>
  <pageMargins left="0.7" right="0.7" top="0.75" bottom="0.75" header="0.3" footer="0.3"/>
  <legacyDrawing r:id="rId2"/>
  <extLst>
    <ext xmlns:x14="http://schemas.microsoft.com/office/spreadsheetml/2009/9/main" uri="{CCE6A557-97BC-4b89-ADB6-D9C93CAAB3DF}">
      <x14:dataValidations xmlns:xm="http://schemas.microsoft.com/office/excel/2006/main" count="36">
        <x14:dataValidation type="list" allowBlank="1" showInputMessage="1">
          <x14:formula1>
            <xm:f>Parameters!$D$5:$H$5</xm:f>
          </x14:formula1>
          <xm:sqref>G7</xm:sqref>
        </x14:dataValidation>
        <x14:dataValidation type="list" allowBlank="1" showInputMessage="1">
          <x14:formula1>
            <xm:f>Parameters!$D$9:$H$9</xm:f>
          </x14:formula1>
          <xm:sqref>G10</xm:sqref>
        </x14:dataValidation>
        <x14:dataValidation type="list" allowBlank="1" showInputMessage="1">
          <x14:formula1>
            <xm:f>Parameters!$D$8:$H$8</xm:f>
          </x14:formula1>
          <xm:sqref>G8</xm:sqref>
        </x14:dataValidation>
        <x14:dataValidation type="list" allowBlank="1" showInputMessage="1">
          <x14:formula1>
            <xm:f>Parameters!$D$32:$H$32</xm:f>
          </x14:formula1>
          <xm:sqref>G18</xm:sqref>
        </x14:dataValidation>
        <x14:dataValidation type="list" allowBlank="1" showInputMessage="1">
          <x14:formula1>
            <xm:f>Parameters!$D$7:$H$7</xm:f>
          </x14:formula1>
          <xm:sqref>G9</xm:sqref>
        </x14:dataValidation>
        <x14:dataValidation type="list" allowBlank="1" showInputMessage="1">
          <x14:formula1>
            <xm:f>Parameters!$D$4:$H$4</xm:f>
          </x14:formula1>
          <xm:sqref>D7</xm:sqref>
        </x14:dataValidation>
        <x14:dataValidation type="list" allowBlank="1" showInputMessage="1">
          <x14:formula1>
            <xm:f>Parameters!$D$14:$H$14</xm:f>
          </x14:formula1>
          <xm:sqref>J17:K17</xm:sqref>
        </x14:dataValidation>
        <x14:dataValidation type="list" allowBlank="1" showInputMessage="1">
          <x14:formula1>
            <xm:f>Parameters!$D$17:$H$17</xm:f>
          </x14:formula1>
          <xm:sqref>J18:K18</xm:sqref>
        </x14:dataValidation>
        <x14:dataValidation type="list" allowBlank="1" showInputMessage="1">
          <x14:formula1>
            <xm:f>Parameters!$D$21:$H$21</xm:f>
          </x14:formula1>
          <xm:sqref>J16:K16</xm:sqref>
        </x14:dataValidation>
        <x14:dataValidation type="list" allowBlank="1" showInputMessage="1">
          <x14:formula1>
            <xm:f>Parameters!$D$18:$H$18</xm:f>
          </x14:formula1>
          <xm:sqref>J10</xm:sqref>
        </x14:dataValidation>
        <x14:dataValidation type="list" allowBlank="1" showInputMessage="1">
          <x14:formula1>
            <xm:f>Parameters!$E$23:$G$23</xm:f>
          </x14:formula1>
          <xm:sqref>K7</xm:sqref>
        </x14:dataValidation>
        <x14:dataValidation type="list" allowBlank="1" showInputMessage="1">
          <x14:formula1>
            <xm:f>Parameters!$D$23:$H$23</xm:f>
          </x14:formula1>
          <xm:sqref>J7</xm:sqref>
        </x14:dataValidation>
        <x14:dataValidation type="list" allowBlank="1" showInputMessage="1">
          <x14:formula1>
            <xm:f>Parameters!$E$16:$I$16</xm:f>
          </x14:formula1>
          <xm:sqref>K10</xm:sqref>
        </x14:dataValidation>
        <x14:dataValidation type="list" allowBlank="1" showInputMessage="1">
          <x14:formula1>
            <xm:f>Parameters!$D$16:$H$16</xm:f>
          </x14:formula1>
          <xm:sqref>J8</xm:sqref>
        </x14:dataValidation>
        <x14:dataValidation type="list" allowBlank="1" showInputMessage="1">
          <x14:formula1>
            <xm:f>Parameters!$D$36:$H$36</xm:f>
          </x14:formula1>
          <xm:sqref>M7</xm:sqref>
        </x14:dataValidation>
        <x14:dataValidation type="list" allowBlank="1" showInputMessage="1">
          <x14:formula1>
            <xm:f>Parameters!$D$37:$H$37</xm:f>
          </x14:formula1>
          <xm:sqref>M8</xm:sqref>
        </x14:dataValidation>
        <x14:dataValidation type="list" allowBlank="1" showInputMessage="1">
          <x14:formula1>
            <xm:f>Parameters!$D$38:$H$38</xm:f>
          </x14:formula1>
          <xm:sqref>M9</xm:sqref>
        </x14:dataValidation>
        <x14:dataValidation type="list" allowBlank="1" showInputMessage="1">
          <x14:formula1>
            <xm:f>Parameters!$D$39:$H$39</xm:f>
          </x14:formula1>
          <xm:sqref>M10</xm:sqref>
        </x14:dataValidation>
        <x14:dataValidation type="list" allowBlank="1" showInputMessage="1">
          <x14:formula1>
            <xm:f>Parameters!$D$40:$H$40</xm:f>
          </x14:formula1>
          <xm:sqref>M11</xm:sqref>
        </x14:dataValidation>
        <x14:dataValidation type="list" allowBlank="1" showInputMessage="1">
          <x14:formula1>
            <xm:f>Parameters!$D$41:$H$41</xm:f>
          </x14:formula1>
          <xm:sqref>M12</xm:sqref>
        </x14:dataValidation>
        <x14:dataValidation type="list" allowBlank="1" showInputMessage="1">
          <x14:formula1>
            <xm:f>Parameters!$D$42:$H$42</xm:f>
          </x14:formula1>
          <xm:sqref>M13</xm:sqref>
        </x14:dataValidation>
        <x14:dataValidation type="list" allowBlank="1" showInputMessage="1">
          <x14:formula1>
            <xm:f>Parameters!$D$43:$H$43</xm:f>
          </x14:formula1>
          <xm:sqref>M14</xm:sqref>
        </x14:dataValidation>
        <x14:dataValidation type="list" allowBlank="1" showInputMessage="1">
          <x14:formula1>
            <xm:f>Parameters!$D$44:$H$44</xm:f>
          </x14:formula1>
          <xm:sqref>M15</xm:sqref>
        </x14:dataValidation>
        <x14:dataValidation type="list" allowBlank="1" showInputMessage="1">
          <x14:formula1>
            <xm:f>Parameters!$D$25:$H$25</xm:f>
          </x14:formula1>
          <xm:sqref>J9</xm:sqref>
        </x14:dataValidation>
        <x14:dataValidation type="list" allowBlank="1" showInputMessage="1">
          <x14:formula1>
            <xm:f>Parameters!$D$24:$H$24</xm:f>
          </x14:formula1>
          <xm:sqref>J11</xm:sqref>
        </x14:dataValidation>
        <x14:dataValidation type="list" allowBlank="1" showInputMessage="1">
          <x14:formula1>
            <xm:f>Parameters!$D$15:$H$15</xm:f>
          </x14:formula1>
          <xm:sqref>J15</xm:sqref>
        </x14:dataValidation>
        <x14:dataValidation type="list" allowBlank="1" showInputMessage="1">
          <x14:formula1>
            <xm:f>Parameters!$D$22:$H$22</xm:f>
          </x14:formula1>
          <xm:sqref>J14</xm:sqref>
        </x14:dataValidation>
        <x14:dataValidation type="list" allowBlank="1" showInputMessage="1">
          <x14:formula1>
            <xm:f>Parameters!$D$28:$H$28</xm:f>
          </x14:formula1>
          <xm:sqref>G16</xm:sqref>
        </x14:dataValidation>
        <x14:dataValidation type="list" allowBlank="1" showInputMessage="1">
          <x14:formula1>
            <xm:f>Parameters!$D$10:$H$10</xm:f>
          </x14:formula1>
          <xm:sqref>G14</xm:sqref>
        </x14:dataValidation>
        <x14:dataValidation type="list" allowBlank="1" showInputMessage="1">
          <x14:formula1>
            <xm:f>Parameters!$D$56:$H$56</xm:f>
          </x14:formula1>
          <xm:sqref>D14</xm:sqref>
        </x14:dataValidation>
        <x14:dataValidation type="list" allowBlank="1" showInputMessage="1">
          <x14:formula1>
            <xm:f>Parameters!$D$55:$H$55</xm:f>
          </x14:formula1>
          <xm:sqref>D11</xm:sqref>
        </x14:dataValidation>
        <x14:dataValidation type="list" allowBlank="1" showInputMessage="1">
          <x14:formula1>
            <xm:f>Parameters!$D$54:$H$54</xm:f>
          </x14:formula1>
          <xm:sqref>D10</xm:sqref>
        </x14:dataValidation>
        <x14:dataValidation type="list" allowBlank="1" showInputMessage="1">
          <x14:formula1>
            <xm:f>Parameters!$D$57:$H$57</xm:f>
          </x14:formula1>
          <xm:sqref>D16:D17</xm:sqref>
        </x14:dataValidation>
        <x14:dataValidation type="list" allowBlank="1" showInputMessage="1">
          <x14:formula1>
            <xm:f>Parameters!$D$33:$H$33</xm:f>
          </x14:formula1>
          <xm:sqref>G11</xm:sqref>
        </x14:dataValidation>
        <x14:dataValidation type="list" allowBlank="1" showInputMessage="1">
          <x14:formula1>
            <xm:f>Parameters!$D$6:$H$6</xm:f>
          </x14:formula1>
          <xm:sqref>G13</xm:sqref>
        </x14:dataValidation>
        <x14:dataValidation type="list" allowBlank="1" showInputMessage="1">
          <x14:formula1>
            <xm:f>Parameters!$D$51:$H$51</xm:f>
          </x14:formula1>
          <xm:sqref>M18</xm:sqref>
        </x14:dataValidation>
      </x14:dataValidation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B119"/>
  <sheetViews>
    <sheetView workbookViewId="0"/>
  </sheetViews>
  <sheetFormatPr baseColWidth="10" defaultColWidth="8.83203125" defaultRowHeight="11" x14ac:dyDescent="0.15"/>
  <cols>
    <col min="1" max="1" width="1.5" style="233" customWidth="1"/>
    <col min="2" max="2" width="9.5" style="233" customWidth="1"/>
    <col min="3" max="3" width="14.5" style="233" customWidth="1"/>
    <col min="4" max="4" width="5.83203125" style="233" customWidth="1"/>
    <col min="5" max="5" width="1.83203125" style="233" customWidth="1"/>
    <col min="6" max="6" width="21.5" style="233" customWidth="1"/>
    <col min="7" max="7" width="13.5" style="233" customWidth="1"/>
    <col min="8" max="8" width="1.5" style="233" customWidth="1"/>
    <col min="9" max="9" width="16.5" style="233" customWidth="1"/>
    <col min="10" max="10" width="8.5" style="233" customWidth="1"/>
    <col min="11" max="11" width="1.5" style="233" customWidth="1"/>
    <col min="12" max="12" width="22.83203125" style="233" customWidth="1"/>
    <col min="13" max="13" width="8.5" style="233" customWidth="1"/>
    <col min="14" max="14" width="0.83203125" style="233" customWidth="1"/>
    <col min="15" max="15" width="2.83203125" style="233" customWidth="1"/>
    <col min="16" max="16" width="2.5" style="233" customWidth="1"/>
    <col min="17" max="17" width="15.5" style="233" customWidth="1"/>
    <col min="18" max="18" width="30.83203125" style="233" customWidth="1"/>
    <col min="19" max="19" width="23.5" style="233" customWidth="1"/>
    <col min="20" max="20" width="1" style="233" customWidth="1"/>
    <col min="21" max="21" width="24.5" style="233" customWidth="1"/>
    <col min="22" max="23" width="12.5" style="233" customWidth="1"/>
    <col min="24" max="24" width="12.5" style="246" customWidth="1"/>
    <col min="25" max="25" width="13.5" style="233" customWidth="1"/>
    <col min="26" max="26" width="14.1640625" style="233" customWidth="1"/>
    <col min="27" max="28" width="11.5" style="233" customWidth="1"/>
    <col min="29" max="29" width="2.5" style="233" customWidth="1"/>
    <col min="30" max="30" width="28.5" style="233" customWidth="1"/>
    <col min="31" max="31" width="14.5" style="233" bestFit="1" customWidth="1"/>
    <col min="32" max="16384" width="8.83203125" style="233"/>
  </cols>
  <sheetData>
    <row r="1" spans="1:54" ht="6" customHeight="1" thickBot="1" x14ac:dyDescent="0.35">
      <c r="A1" s="274"/>
      <c r="B1" s="246"/>
      <c r="C1" s="246"/>
      <c r="D1" s="246"/>
      <c r="E1" s="246"/>
      <c r="F1" s="246"/>
      <c r="G1" s="246"/>
      <c r="H1" s="246"/>
      <c r="I1" s="246"/>
      <c r="J1" s="246"/>
      <c r="K1" s="246"/>
      <c r="L1" s="246"/>
      <c r="M1" s="246"/>
      <c r="N1" s="246"/>
      <c r="O1" s="246"/>
      <c r="P1" s="246"/>
      <c r="Q1" s="246"/>
      <c r="R1" s="254"/>
      <c r="S1" s="246"/>
      <c r="T1" s="246"/>
      <c r="U1" s="246"/>
      <c r="V1" s="246"/>
      <c r="W1" s="246"/>
      <c r="Y1" s="246"/>
      <c r="Z1" s="246"/>
      <c r="AA1" s="246"/>
      <c r="AB1" s="246"/>
      <c r="AC1" s="246"/>
      <c r="AD1" s="246"/>
      <c r="AE1" s="246"/>
      <c r="AF1" s="246"/>
      <c r="AG1" s="246"/>
      <c r="AH1" s="246"/>
      <c r="AI1" s="246"/>
      <c r="AJ1" s="246"/>
      <c r="AK1" s="246"/>
      <c r="AL1" s="246"/>
      <c r="AM1" s="246"/>
      <c r="AN1" s="246"/>
      <c r="AO1" s="246"/>
      <c r="AP1" s="246"/>
      <c r="AQ1" s="246"/>
    </row>
    <row r="2" spans="1:54" ht="15" customHeight="1" x14ac:dyDescent="0.25">
      <c r="A2" s="246"/>
      <c r="B2" s="246"/>
      <c r="C2" s="334"/>
      <c r="D2" s="249"/>
      <c r="E2" s="249"/>
      <c r="F2" s="246"/>
      <c r="G2" s="246"/>
      <c r="H2" s="246"/>
      <c r="I2" s="246"/>
      <c r="J2" s="246"/>
      <c r="K2" s="274"/>
      <c r="L2" s="386"/>
      <c r="M2" s="274"/>
      <c r="N2" s="246"/>
      <c r="O2" s="246"/>
      <c r="P2" s="246"/>
      <c r="Q2" s="246"/>
      <c r="S2" s="553" t="s">
        <v>409</v>
      </c>
      <c r="T2" s="554"/>
      <c r="U2" s="333"/>
      <c r="V2" s="333"/>
      <c r="W2" s="333"/>
      <c r="X2" s="333"/>
      <c r="Y2" s="246"/>
      <c r="Z2" s="557" t="s">
        <v>290</v>
      </c>
      <c r="AA2" s="558"/>
      <c r="AB2" s="559"/>
      <c r="AC2" s="246"/>
      <c r="AD2" s="246"/>
      <c r="AE2" s="246"/>
      <c r="AF2" s="246"/>
      <c r="AG2" s="246"/>
      <c r="AH2" s="246"/>
      <c r="AI2" s="246"/>
      <c r="AJ2" s="246"/>
      <c r="AK2" s="246"/>
      <c r="AL2" s="246"/>
      <c r="AM2" s="246"/>
      <c r="AN2" s="246"/>
      <c r="AO2" s="246"/>
      <c r="AP2" s="246"/>
      <c r="AQ2" s="246"/>
      <c r="AS2" s="232" t="s">
        <v>477</v>
      </c>
      <c r="AT2" s="232" t="s">
        <v>478</v>
      </c>
      <c r="AU2" s="232" t="s">
        <v>479</v>
      </c>
      <c r="AV2" s="232" t="s">
        <v>480</v>
      </c>
      <c r="AW2" s="232" t="s">
        <v>481</v>
      </c>
      <c r="AX2" s="232" t="s">
        <v>482</v>
      </c>
      <c r="AY2" s="232" t="s">
        <v>483</v>
      </c>
      <c r="AZ2" s="232" t="s">
        <v>432</v>
      </c>
      <c r="BA2" s="232" t="s">
        <v>485</v>
      </c>
    </row>
    <row r="3" spans="1:54" ht="19.5" customHeight="1" thickBot="1" x14ac:dyDescent="0.3">
      <c r="A3" s="246"/>
      <c r="B3" s="334"/>
      <c r="C3" s="334"/>
      <c r="D3" s="249"/>
      <c r="E3" s="249"/>
      <c r="F3" s="246"/>
      <c r="G3" s="246"/>
      <c r="H3" s="246"/>
      <c r="I3" s="246"/>
      <c r="J3" s="246"/>
      <c r="K3" s="274"/>
      <c r="L3" s="274"/>
      <c r="M3" s="274"/>
      <c r="N3" s="246"/>
      <c r="O3" s="246"/>
      <c r="P3" s="246"/>
      <c r="Q3" s="246"/>
      <c r="R3" s="333"/>
      <c r="S3" s="555"/>
      <c r="T3" s="556"/>
      <c r="U3" s="333"/>
      <c r="V3" s="333"/>
      <c r="W3" s="333"/>
      <c r="X3" s="333"/>
      <c r="Y3" s="246"/>
      <c r="Z3" s="560"/>
      <c r="AA3" s="561"/>
      <c r="AB3" s="562"/>
      <c r="AC3" s="246"/>
      <c r="AD3" s="246"/>
      <c r="AE3" s="246"/>
      <c r="AF3" s="246"/>
      <c r="AG3" s="246"/>
      <c r="AH3" s="246"/>
      <c r="AI3" s="246"/>
      <c r="AJ3" s="246"/>
      <c r="AK3" s="246"/>
      <c r="AL3" s="246"/>
      <c r="AM3" s="246"/>
      <c r="AN3" s="246"/>
      <c r="AO3" s="246"/>
      <c r="AP3" s="246"/>
      <c r="AQ3" s="246"/>
      <c r="AS3" s="232"/>
      <c r="AT3" s="232"/>
      <c r="AU3" s="232"/>
      <c r="AV3" s="232"/>
      <c r="AW3" s="232"/>
      <c r="AX3" s="232"/>
      <c r="AY3" s="232"/>
      <c r="AZ3" s="232"/>
      <c r="BA3" s="232"/>
    </row>
    <row r="4" spans="1:54" ht="40.75" customHeight="1" x14ac:dyDescent="0.2">
      <c r="A4" s="246"/>
      <c r="B4" s="563" t="s">
        <v>365</v>
      </c>
      <c r="C4" s="563"/>
      <c r="D4" s="563"/>
      <c r="E4" s="336"/>
      <c r="F4" s="565" t="s">
        <v>408</v>
      </c>
      <c r="G4" s="566"/>
      <c r="H4" s="249"/>
      <c r="I4" s="246"/>
      <c r="J4" s="246"/>
      <c r="K4" s="246"/>
      <c r="L4" s="246"/>
      <c r="M4" s="246"/>
      <c r="N4" s="277"/>
      <c r="O4" s="277"/>
      <c r="P4" s="277"/>
      <c r="Q4" s="332"/>
      <c r="R4" s="457" t="s">
        <v>393</v>
      </c>
      <c r="S4" s="457" t="s">
        <v>245</v>
      </c>
      <c r="T4" s="569" t="s">
        <v>244</v>
      </c>
      <c r="U4" s="569"/>
      <c r="V4" s="569" t="s">
        <v>395</v>
      </c>
      <c r="W4" s="570"/>
      <c r="X4" s="238"/>
      <c r="Y4" s="246"/>
      <c r="Z4" s="369" t="s">
        <v>291</v>
      </c>
      <c r="AA4" s="370"/>
      <c r="AB4" s="371"/>
      <c r="AC4" s="242"/>
      <c r="AD4" s="372" t="s">
        <v>292</v>
      </c>
      <c r="AE4" s="373"/>
      <c r="AF4" s="246"/>
      <c r="AG4" s="246"/>
      <c r="AH4" s="246"/>
      <c r="AI4" s="246"/>
      <c r="AJ4" s="246"/>
      <c r="AK4" s="246"/>
      <c r="AL4" s="246"/>
      <c r="AM4" s="246"/>
      <c r="AN4" s="246"/>
      <c r="AO4" s="246"/>
      <c r="AP4" s="246"/>
      <c r="AQ4" s="246"/>
      <c r="AS4" s="232">
        <v>0</v>
      </c>
      <c r="AT4" s="278">
        <f>Q37</f>
        <v>212.7659574468085</v>
      </c>
      <c r="AU4" s="278">
        <f>(1-$D$11)*AT4</f>
        <v>127.6595744680851</v>
      </c>
      <c r="AV4" s="278"/>
      <c r="AW4" s="232"/>
      <c r="AX4" s="232">
        <f>IF(ISNUMBER(AS5),SUM(AU4:AV4),SUM(AU4:AW4))</f>
        <v>127.6595744680851</v>
      </c>
      <c r="AY4" s="279">
        <f t="shared" ref="AY4:AY30" si="0">LN(AX4+$J$37)-LN($J$37)</f>
        <v>0.36913541566724817</v>
      </c>
      <c r="AZ4" s="232">
        <f>IF(ISNUMBER(AS4),AY4/(1+$D$7)^AS4,0)</f>
        <v>0.36913541566724817</v>
      </c>
      <c r="BA4" s="232"/>
    </row>
    <row r="5" spans="1:54" ht="10.75" customHeight="1" thickBot="1" x14ac:dyDescent="0.25">
      <c r="A5" s="246"/>
      <c r="B5" s="564"/>
      <c r="C5" s="564"/>
      <c r="D5" s="564"/>
      <c r="E5" s="335"/>
      <c r="F5" s="567"/>
      <c r="G5" s="568"/>
      <c r="H5" s="256"/>
      <c r="I5" s="256"/>
      <c r="J5" s="246"/>
      <c r="K5" s="246"/>
      <c r="L5" s="246"/>
      <c r="M5" s="246"/>
      <c r="N5" s="246"/>
      <c r="O5" s="246"/>
      <c r="P5" s="246"/>
      <c r="Q5" s="459" t="s">
        <v>411</v>
      </c>
      <c r="R5" s="458">
        <f>D37/(1+D7)^10</f>
        <v>0.16514266520246426</v>
      </c>
      <c r="S5" s="458">
        <f>R5*(1-1/(1+D7)^G16)/(1-1/(1+D7))</f>
        <v>2.9753821155847677</v>
      </c>
      <c r="T5" s="582">
        <f>S5*G11*G7*G9*G18*G8/G37</f>
        <v>5.9996597541487298E-2</v>
      </c>
      <c r="U5" s="582"/>
      <c r="V5" s="572">
        <f>$G$14*$G$10</f>
        <v>7.0432719999999997E-3</v>
      </c>
      <c r="W5" s="573"/>
      <c r="X5" s="238"/>
      <c r="Y5" s="246"/>
      <c r="Z5" s="357" t="s">
        <v>121</v>
      </c>
      <c r="AA5" s="358"/>
      <c r="AB5" s="359"/>
      <c r="AC5" s="247"/>
      <c r="AD5" s="238"/>
      <c r="AE5" s="244"/>
      <c r="AF5" s="246"/>
      <c r="AG5" s="246"/>
      <c r="AH5" s="246"/>
      <c r="AI5" s="246"/>
      <c r="AJ5" s="246"/>
      <c r="AK5" s="246"/>
      <c r="AL5" s="246"/>
      <c r="AM5" s="246"/>
      <c r="AN5" s="246"/>
      <c r="AO5" s="246"/>
      <c r="AP5" s="246"/>
      <c r="AQ5" s="246"/>
      <c r="AS5" s="232">
        <f t="shared" ref="AS5:AS68" si="1">IF(AS4&lt;$D$14,AS4+1,"")</f>
        <v>1</v>
      </c>
      <c r="AT5" s="278">
        <f>AT4-AU4</f>
        <v>85.106382978723403</v>
      </c>
      <c r="AU5" s="278"/>
      <c r="AV5" s="278">
        <f t="shared" ref="AV5:AV71" si="2">$D$10*AT5</f>
        <v>12.76595744680851</v>
      </c>
      <c r="AW5" s="278">
        <f>AT5</f>
        <v>85.106382978723403</v>
      </c>
      <c r="AX5" s="232">
        <f t="shared" ref="AX5:AX14" si="3">IF(ISNUMBER(AS6),SUM(AU5:AV5),SUM(AU5:AW5))</f>
        <v>12.76595744680851</v>
      </c>
      <c r="AY5" s="279">
        <f t="shared" si="0"/>
        <v>4.368031844348863E-2</v>
      </c>
      <c r="AZ5" s="232">
        <f t="shared" ref="AZ5:AZ71" si="4">IF(ISNUMBER(AS5),AY5/(1+$D$7)^AS5,0)</f>
        <v>4.160030327951298E-2</v>
      </c>
      <c r="BA5" s="232">
        <f>SUM(AZ5:AZ114)</f>
        <v>0.63884222909511568</v>
      </c>
      <c r="BB5" s="233">
        <f>SUM(AZ5:AZ23)</f>
        <v>0.52789066364198967</v>
      </c>
    </row>
    <row r="6" spans="1:54" ht="15" customHeight="1" x14ac:dyDescent="0.2">
      <c r="A6" s="246"/>
      <c r="B6" s="242"/>
      <c r="C6" s="587" t="s">
        <v>540</v>
      </c>
      <c r="D6" s="587"/>
      <c r="E6" s="271"/>
      <c r="F6" s="350" t="s">
        <v>541</v>
      </c>
      <c r="G6" s="351"/>
      <c r="H6" s="272"/>
      <c r="I6" s="587" t="s">
        <v>567</v>
      </c>
      <c r="J6" s="587"/>
      <c r="K6" s="272"/>
      <c r="L6" s="588" t="s">
        <v>390</v>
      </c>
      <c r="M6" s="588"/>
      <c r="N6" s="243"/>
      <c r="O6" s="238"/>
      <c r="P6" s="246"/>
      <c r="Q6" s="459" t="s">
        <v>412</v>
      </c>
      <c r="R6" s="458">
        <f>(M15*M11)/(1+D7)^10</f>
        <v>1.7680701701973868E-2</v>
      </c>
      <c r="S6" s="458">
        <f>R6*(1-1/(1+D7)^G16)/(1-1/(1+D7))</f>
        <v>0.31855392166855506</v>
      </c>
      <c r="T6" s="582">
        <f>S6*M8*M9*M14*(W37/V37)*G11</f>
        <v>4.9207151701710361E-3</v>
      </c>
      <c r="U6" s="582"/>
      <c r="V6" s="572">
        <v>0</v>
      </c>
      <c r="W6" s="589"/>
      <c r="X6" s="238"/>
      <c r="Y6" s="246"/>
      <c r="Z6" s="360" t="s">
        <v>570</v>
      </c>
      <c r="AA6" s="361"/>
      <c r="AB6" s="362">
        <f>$G$7*$G$8*$G$9*G$18*$J7</f>
        <v>1.0269963956043956E-2</v>
      </c>
      <c r="AC6" s="247"/>
      <c r="AD6" s="590" t="s">
        <v>123</v>
      </c>
      <c r="AE6" s="574">
        <f>G10</f>
        <v>4</v>
      </c>
      <c r="AF6" s="246"/>
      <c r="AG6" s="246"/>
      <c r="AH6" s="246"/>
      <c r="AI6" s="246"/>
      <c r="AJ6" s="246"/>
      <c r="AK6" s="246"/>
      <c r="AL6" s="246"/>
      <c r="AM6" s="246"/>
      <c r="AN6" s="246"/>
      <c r="AO6" s="246"/>
      <c r="AP6" s="246"/>
      <c r="AQ6" s="246"/>
      <c r="AS6" s="232">
        <f t="shared" si="1"/>
        <v>2</v>
      </c>
      <c r="AT6" s="278">
        <f t="shared" ref="AT6:AT72" si="5">IF(ISNUMBER(AS6),AW5,0)</f>
        <v>85.106382978723403</v>
      </c>
      <c r="AU6" s="278"/>
      <c r="AV6" s="278">
        <f t="shared" si="2"/>
        <v>12.76595744680851</v>
      </c>
      <c r="AW6" s="278">
        <f t="shared" ref="AW6:AW72" si="6">AT6</f>
        <v>85.106382978723403</v>
      </c>
      <c r="AX6" s="232">
        <f t="shared" si="3"/>
        <v>12.76595744680851</v>
      </c>
      <c r="AY6" s="279">
        <f t="shared" si="0"/>
        <v>4.368031844348863E-2</v>
      </c>
      <c r="AZ6" s="232">
        <f t="shared" si="4"/>
        <v>3.9619336456679026E-2</v>
      </c>
      <c r="BA6" s="232"/>
    </row>
    <row r="7" spans="1:54" ht="20.5" customHeight="1" x14ac:dyDescent="0.2">
      <c r="A7" s="246"/>
      <c r="B7" s="576" t="s">
        <v>573</v>
      </c>
      <c r="C7" s="301" t="s">
        <v>528</v>
      </c>
      <c r="D7" s="139">
        <v>0.05</v>
      </c>
      <c r="E7" s="234"/>
      <c r="F7" s="321" t="s">
        <v>532</v>
      </c>
      <c r="G7" s="338">
        <v>0.54212454212454209</v>
      </c>
      <c r="H7" s="236"/>
      <c r="I7" s="321" t="s">
        <v>536</v>
      </c>
      <c r="J7" s="381">
        <v>0.25359999999999999</v>
      </c>
      <c r="K7" s="314"/>
      <c r="L7" s="321" t="s">
        <v>397</v>
      </c>
      <c r="M7" s="324">
        <v>0.1</v>
      </c>
      <c r="N7" s="244"/>
      <c r="O7" s="238"/>
      <c r="P7" s="246"/>
      <c r="Q7" s="247"/>
      <c r="R7" s="238"/>
      <c r="S7" s="238"/>
      <c r="T7" s="238"/>
      <c r="U7" s="318"/>
      <c r="V7" s="238"/>
      <c r="W7" s="244"/>
      <c r="X7" s="238"/>
      <c r="Y7" s="246"/>
      <c r="Z7" s="360" t="s">
        <v>560</v>
      </c>
      <c r="AA7" s="361"/>
      <c r="AB7" s="362">
        <f>$G$7*$G$8*$G$9*G$18*$J8</f>
        <v>7.5198871666215779E-3</v>
      </c>
      <c r="AC7" s="247"/>
      <c r="AD7" s="591"/>
      <c r="AE7" s="575"/>
      <c r="AF7" s="246"/>
      <c r="AG7" s="246"/>
      <c r="AH7" s="246"/>
      <c r="AI7" s="246"/>
      <c r="AJ7" s="246"/>
      <c r="AK7" s="246"/>
      <c r="AL7" s="246"/>
      <c r="AM7" s="246"/>
      <c r="AN7" s="246"/>
      <c r="AO7" s="246"/>
      <c r="AP7" s="246"/>
      <c r="AQ7" s="246"/>
      <c r="AS7" s="232">
        <f t="shared" si="1"/>
        <v>3</v>
      </c>
      <c r="AT7" s="278">
        <f>IF(ISNUMBER(AS7),AW6,0)</f>
        <v>85.106382978723403</v>
      </c>
      <c r="AU7" s="278"/>
      <c r="AV7" s="278">
        <f t="shared" si="2"/>
        <v>12.76595744680851</v>
      </c>
      <c r="AW7" s="278">
        <f t="shared" si="6"/>
        <v>85.106382978723403</v>
      </c>
      <c r="AX7" s="232">
        <f t="shared" si="3"/>
        <v>12.76595744680851</v>
      </c>
      <c r="AY7" s="279">
        <f t="shared" si="0"/>
        <v>4.368031844348863E-2</v>
      </c>
      <c r="AZ7" s="232">
        <f t="shared" si="4"/>
        <v>3.7732701387313355E-2</v>
      </c>
      <c r="BA7" s="232"/>
    </row>
    <row r="8" spans="1:54" ht="25" customHeight="1" thickBot="1" x14ac:dyDescent="0.25">
      <c r="A8" s="246"/>
      <c r="B8" s="576"/>
      <c r="C8" s="294"/>
      <c r="D8" s="294"/>
      <c r="E8" s="273"/>
      <c r="F8" s="323" t="s">
        <v>534</v>
      </c>
      <c r="G8" s="245">
        <v>0.6</v>
      </c>
      <c r="H8" s="237"/>
      <c r="I8" s="312" t="s">
        <v>537</v>
      </c>
      <c r="J8" s="379">
        <v>0.18569134162665896</v>
      </c>
      <c r="K8" s="315"/>
      <c r="L8" s="312" t="s">
        <v>391</v>
      </c>
      <c r="M8" s="313">
        <v>0.8</v>
      </c>
      <c r="N8" s="244"/>
      <c r="O8" s="238"/>
      <c r="P8" s="246"/>
      <c r="Q8" s="577" t="s">
        <v>413</v>
      </c>
      <c r="R8" s="238"/>
      <c r="S8" s="460" t="s">
        <v>246</v>
      </c>
      <c r="T8" s="578" t="s">
        <v>562</v>
      </c>
      <c r="U8" s="578"/>
      <c r="V8" s="578" t="s">
        <v>446</v>
      </c>
      <c r="W8" s="662"/>
      <c r="X8" s="238"/>
      <c r="Y8" s="246"/>
      <c r="Z8" s="360" t="s">
        <v>566</v>
      </c>
      <c r="AA8" s="361"/>
      <c r="AB8" s="362">
        <f>$G$7*$G$8*$G$9*G$18/M18</f>
        <v>2.0248351648351648E-2</v>
      </c>
      <c r="AC8" s="374"/>
      <c r="AD8" s="375" t="s">
        <v>124</v>
      </c>
      <c r="AE8" s="376">
        <f>(AE6*U37)/S5</f>
        <v>49.102936807592599</v>
      </c>
      <c r="AF8" s="246"/>
      <c r="AG8" s="246"/>
      <c r="AH8" s="246"/>
      <c r="AI8" s="246"/>
      <c r="AJ8" s="246"/>
      <c r="AK8" s="246"/>
      <c r="AL8" s="246"/>
      <c r="AM8" s="246"/>
      <c r="AN8" s="246"/>
      <c r="AO8" s="246"/>
      <c r="AP8" s="246"/>
      <c r="AQ8" s="246"/>
      <c r="AS8" s="232">
        <f t="shared" si="1"/>
        <v>4</v>
      </c>
      <c r="AT8" s="278">
        <f t="shared" si="5"/>
        <v>85.106382978723403</v>
      </c>
      <c r="AU8" s="278"/>
      <c r="AV8" s="278">
        <f t="shared" si="2"/>
        <v>12.76595744680851</v>
      </c>
      <c r="AW8" s="278">
        <f t="shared" si="6"/>
        <v>85.106382978723403</v>
      </c>
      <c r="AX8" s="232">
        <f t="shared" si="3"/>
        <v>12.76595744680851</v>
      </c>
      <c r="AY8" s="279">
        <f t="shared" si="0"/>
        <v>4.368031844348863E-2</v>
      </c>
      <c r="AZ8" s="232">
        <f t="shared" si="4"/>
        <v>3.5935906083155583E-2</v>
      </c>
      <c r="BA8" s="232"/>
    </row>
    <row r="9" spans="1:54" ht="33" x14ac:dyDescent="0.2">
      <c r="A9" s="246"/>
      <c r="B9" s="576"/>
      <c r="C9" s="581" t="s">
        <v>542</v>
      </c>
      <c r="D9" s="581"/>
      <c r="E9" s="234"/>
      <c r="F9" s="312" t="s">
        <v>440</v>
      </c>
      <c r="G9" s="313">
        <v>0.75</v>
      </c>
      <c r="H9" s="237"/>
      <c r="I9" s="312" t="s">
        <v>386</v>
      </c>
      <c r="J9" s="379">
        <v>1.17</v>
      </c>
      <c r="K9" s="315"/>
      <c r="L9" s="312" t="s">
        <v>392</v>
      </c>
      <c r="M9" s="313">
        <v>0.7</v>
      </c>
      <c r="N9" s="244"/>
      <c r="O9" s="238"/>
      <c r="P9" s="246"/>
      <c r="Q9" s="577"/>
      <c r="R9" s="253" t="s">
        <v>572</v>
      </c>
      <c r="S9" s="468">
        <f>J11*($T$5*AB13*J14*J7+$V$5*(J7*$G$13))</f>
        <v>1.8787484694921176E-2</v>
      </c>
      <c r="T9" s="582">
        <f>S9/(J16/J9)</f>
        <v>2.9308476124077033E-2</v>
      </c>
      <c r="U9" s="582"/>
      <c r="V9" s="663">
        <f>($G$10*$U$37)/T9</f>
        <v>4984.906051801795</v>
      </c>
      <c r="W9" s="664"/>
      <c r="X9" s="238"/>
      <c r="Y9" s="387"/>
      <c r="Z9" s="585" t="s">
        <v>288</v>
      </c>
      <c r="AA9" s="586"/>
      <c r="AB9" s="411">
        <v>0.05</v>
      </c>
      <c r="AC9" s="246"/>
      <c r="AD9" s="246"/>
      <c r="AE9" s="388"/>
      <c r="AF9" s="246"/>
      <c r="AG9" s="246"/>
      <c r="AH9" s="246"/>
      <c r="AI9" s="246"/>
      <c r="AJ9" s="246"/>
      <c r="AK9" s="246"/>
      <c r="AL9" s="246"/>
      <c r="AM9" s="246"/>
      <c r="AN9" s="246"/>
      <c r="AO9" s="246"/>
      <c r="AP9" s="246"/>
      <c r="AQ9" s="246"/>
      <c r="AS9" s="232">
        <f t="shared" si="1"/>
        <v>5</v>
      </c>
      <c r="AT9" s="278">
        <f t="shared" si="5"/>
        <v>85.106382978723403</v>
      </c>
      <c r="AU9" s="278"/>
      <c r="AV9" s="278">
        <f t="shared" si="2"/>
        <v>12.76595744680851</v>
      </c>
      <c r="AW9" s="278">
        <f t="shared" si="6"/>
        <v>85.106382978723403</v>
      </c>
      <c r="AX9" s="232">
        <f>IF(ISNUMBER(AS10),SUM(AU9:AV9),SUM(AU9:AW9))</f>
        <v>12.76595744680851</v>
      </c>
      <c r="AY9" s="279">
        <f t="shared" si="0"/>
        <v>4.368031844348863E-2</v>
      </c>
      <c r="AZ9" s="232">
        <f t="shared" si="4"/>
        <v>3.4224672460148167E-2</v>
      </c>
      <c r="BA9" s="232"/>
    </row>
    <row r="10" spans="1:54" ht="39.75" customHeight="1" x14ac:dyDescent="0.2">
      <c r="A10" s="246"/>
      <c r="B10" s="576"/>
      <c r="C10" s="291" t="s">
        <v>531</v>
      </c>
      <c r="D10" s="292">
        <v>0.15</v>
      </c>
      <c r="E10" s="284"/>
      <c r="F10" s="312" t="s">
        <v>231</v>
      </c>
      <c r="G10" s="503">
        <v>4</v>
      </c>
      <c r="H10" s="285"/>
      <c r="I10" s="312" t="s">
        <v>387</v>
      </c>
      <c r="J10" s="379">
        <v>1</v>
      </c>
      <c r="K10" s="315"/>
      <c r="L10" s="312" t="s">
        <v>406</v>
      </c>
      <c r="M10" s="313">
        <v>1</v>
      </c>
      <c r="N10" s="244"/>
      <c r="O10" s="238"/>
      <c r="P10" s="246"/>
      <c r="Q10" s="577"/>
      <c r="R10" s="253" t="s">
        <v>14</v>
      </c>
      <c r="S10" s="468">
        <f>J18*($T$5*AB14*J15*J8+$V$5*(J8*$G$13))</f>
        <v>1.0971385772128077E-2</v>
      </c>
      <c r="T10" s="582">
        <f>S10/(J17/J10)</f>
        <v>1.2093679202081214E-2</v>
      </c>
      <c r="U10" s="582"/>
      <c r="V10" s="663">
        <f>($G$10*$U$37)/T10</f>
        <v>12080.690876508244</v>
      </c>
      <c r="W10" s="664"/>
      <c r="X10" s="238"/>
      <c r="Y10" s="246"/>
      <c r="Z10" s="592" t="s">
        <v>289</v>
      </c>
      <c r="AA10" s="593"/>
      <c r="AB10" s="377" t="s">
        <v>287</v>
      </c>
      <c r="AC10" s="246"/>
      <c r="AD10" s="387"/>
      <c r="AE10" s="388"/>
      <c r="AF10" s="246"/>
      <c r="AG10" s="246"/>
      <c r="AH10" s="246"/>
      <c r="AI10" s="246"/>
      <c r="AJ10" s="246"/>
      <c r="AK10" s="246"/>
      <c r="AL10" s="246"/>
      <c r="AM10" s="246"/>
      <c r="AN10" s="246"/>
      <c r="AO10" s="246"/>
      <c r="AP10" s="246"/>
      <c r="AQ10" s="246"/>
      <c r="AS10" s="232">
        <f t="shared" si="1"/>
        <v>6</v>
      </c>
      <c r="AT10" s="278">
        <f>IF(ISNUMBER(AS10),AW9,0)</f>
        <v>85.106382978723403</v>
      </c>
      <c r="AU10" s="278"/>
      <c r="AV10" s="278">
        <f t="shared" si="2"/>
        <v>12.76595744680851</v>
      </c>
      <c r="AW10" s="278">
        <f t="shared" si="6"/>
        <v>85.106382978723403</v>
      </c>
      <c r="AX10" s="232">
        <f>IF(ISNUMBER(AS11),SUM(AU10:AV10),SUM(AU10:AW10))</f>
        <v>12.76595744680851</v>
      </c>
      <c r="AY10" s="279">
        <f t="shared" si="0"/>
        <v>4.368031844348863E-2</v>
      </c>
      <c r="AZ10" s="232">
        <f t="shared" si="4"/>
        <v>3.2594926152522068E-2</v>
      </c>
      <c r="BA10" s="232"/>
    </row>
    <row r="11" spans="1:54" ht="33" customHeight="1" x14ac:dyDescent="0.2">
      <c r="A11" s="246"/>
      <c r="B11" s="576"/>
      <c r="C11" s="298" t="s">
        <v>533</v>
      </c>
      <c r="D11" s="299">
        <v>0.4</v>
      </c>
      <c r="E11" s="235"/>
      <c r="F11" s="312" t="s">
        <v>241</v>
      </c>
      <c r="G11" s="503">
        <v>1.2</v>
      </c>
      <c r="H11" s="238"/>
      <c r="I11" s="312" t="s">
        <v>230</v>
      </c>
      <c r="J11" s="379">
        <v>1</v>
      </c>
      <c r="K11" s="315"/>
      <c r="L11" s="312" t="s">
        <v>405</v>
      </c>
      <c r="M11" s="313">
        <v>0.8</v>
      </c>
      <c r="N11" s="244"/>
      <c r="O11" s="246"/>
      <c r="P11" s="246"/>
      <c r="Q11" s="577"/>
      <c r="R11" s="253" t="s">
        <v>566</v>
      </c>
      <c r="S11" s="468" t="s">
        <v>120</v>
      </c>
      <c r="T11" s="582">
        <f>(1/S37)*(1/M18)*T5*AB15+(1/R37)*U37*G10</f>
        <v>5.9782075853786538E-2</v>
      </c>
      <c r="U11" s="582">
        <f>(1/S37)*(1/M18)*T5+1/R37*(G10*S5)</f>
        <v>1.2500175335392851E-2</v>
      </c>
      <c r="V11" s="663">
        <f>($G$10*$U$37)/T11</f>
        <v>2443.8763277027656</v>
      </c>
      <c r="W11" s="664"/>
      <c r="X11" s="238"/>
      <c r="Y11" s="246"/>
      <c r="Z11" s="247"/>
      <c r="AA11" s="238"/>
      <c r="AB11" s="244"/>
      <c r="AC11" s="246"/>
      <c r="AD11" s="246"/>
      <c r="AE11" s="246"/>
      <c r="AF11" s="246"/>
      <c r="AG11" s="246"/>
      <c r="AH11" s="246"/>
      <c r="AI11" s="246"/>
      <c r="AJ11" s="246"/>
      <c r="AK11" s="246"/>
      <c r="AL11" s="246"/>
      <c r="AM11" s="246"/>
      <c r="AN11" s="246"/>
      <c r="AO11" s="246"/>
      <c r="AP11" s="246"/>
      <c r="AQ11" s="246"/>
      <c r="AS11" s="232">
        <f t="shared" si="1"/>
        <v>7</v>
      </c>
      <c r="AT11" s="278">
        <f>IF(ISNUMBER(AS11),AW10,0)</f>
        <v>85.106382978723403</v>
      </c>
      <c r="AU11" s="278"/>
      <c r="AV11" s="278">
        <f t="shared" si="2"/>
        <v>12.76595744680851</v>
      </c>
      <c r="AW11" s="278">
        <f t="shared" si="6"/>
        <v>85.106382978723403</v>
      </c>
      <c r="AX11" s="232">
        <f>IF(ISNUMBER(AS12),SUM(AU11:AV11),SUM(AU11:AW11))</f>
        <v>12.76595744680851</v>
      </c>
      <c r="AY11" s="279">
        <f t="shared" si="0"/>
        <v>4.368031844348863E-2</v>
      </c>
      <c r="AZ11" s="232">
        <f t="shared" si="4"/>
        <v>3.1042786811925776E-2</v>
      </c>
      <c r="BA11" s="232"/>
    </row>
    <row r="12" spans="1:54" ht="22.75" customHeight="1" thickBot="1" x14ac:dyDescent="0.25">
      <c r="A12" s="246"/>
      <c r="B12" s="247"/>
      <c r="C12" s="241"/>
      <c r="D12" s="240"/>
      <c r="E12" s="234"/>
      <c r="F12" s="390"/>
      <c r="G12" s="391"/>
      <c r="H12" s="241"/>
      <c r="I12" s="241"/>
      <c r="J12" s="380"/>
      <c r="K12" s="238"/>
      <c r="L12" s="312" t="s">
        <v>399</v>
      </c>
      <c r="M12" s="313">
        <v>0.66</v>
      </c>
      <c r="N12" s="244"/>
      <c r="O12" s="238"/>
      <c r="P12" s="246"/>
      <c r="Q12" s="293"/>
      <c r="R12" s="253" t="s">
        <v>396</v>
      </c>
      <c r="S12" s="468">
        <f>T6*M12</f>
        <v>3.2476720123128838E-3</v>
      </c>
      <c r="T12" s="582">
        <f>M13*S12/(M7/M10)</f>
        <v>1.6238360061564417E-2</v>
      </c>
      <c r="U12" s="582"/>
      <c r="V12" s="594" t="s">
        <v>120</v>
      </c>
      <c r="W12" s="595"/>
      <c r="X12" s="238"/>
      <c r="Y12" s="246"/>
      <c r="Z12" s="363" t="s">
        <v>286</v>
      </c>
      <c r="AA12" s="358"/>
      <c r="AB12" s="364"/>
      <c r="AC12" s="246"/>
      <c r="AD12" s="246"/>
      <c r="AE12" s="246"/>
      <c r="AF12" s="246"/>
      <c r="AG12" s="246"/>
      <c r="AH12" s="246"/>
      <c r="AI12" s="246"/>
      <c r="AJ12" s="246"/>
      <c r="AK12" s="246"/>
      <c r="AL12" s="246"/>
      <c r="AM12" s="246"/>
      <c r="AN12" s="246"/>
      <c r="AO12" s="246"/>
      <c r="AP12" s="246"/>
      <c r="AQ12" s="246"/>
      <c r="AS12" s="232">
        <f t="shared" si="1"/>
        <v>8</v>
      </c>
      <c r="AT12" s="278">
        <f>IF(ISNUMBER(AS12),AW11,0)</f>
        <v>85.106382978723403</v>
      </c>
      <c r="AU12" s="278"/>
      <c r="AV12" s="278">
        <f t="shared" si="2"/>
        <v>12.76595744680851</v>
      </c>
      <c r="AW12" s="278">
        <f t="shared" si="6"/>
        <v>85.106382978723403</v>
      </c>
      <c r="AX12" s="232">
        <f>IF(ISNUMBER(AS13),SUM(AU12:AV12),SUM(AU12:AW12))</f>
        <v>12.76595744680851</v>
      </c>
      <c r="AY12" s="279">
        <f t="shared" si="0"/>
        <v>4.368031844348863E-2</v>
      </c>
      <c r="AZ12" s="232">
        <f t="shared" si="4"/>
        <v>2.9564558868500741E-2</v>
      </c>
      <c r="BA12" s="232"/>
    </row>
    <row r="13" spans="1:54" ht="30.75" customHeight="1" x14ac:dyDescent="0.2">
      <c r="A13" s="246"/>
      <c r="B13" s="247"/>
      <c r="C13" s="241"/>
      <c r="D13" s="240"/>
      <c r="E13" s="234"/>
      <c r="F13" s="461" t="s">
        <v>217</v>
      </c>
      <c r="G13" s="507">
        <v>2</v>
      </c>
      <c r="H13" s="238"/>
      <c r="I13" s="241"/>
      <c r="J13" s="380"/>
      <c r="K13" s="238"/>
      <c r="L13" s="312" t="s">
        <v>398</v>
      </c>
      <c r="M13" s="313">
        <v>0.5</v>
      </c>
      <c r="N13" s="244"/>
      <c r="O13" s="238"/>
      <c r="P13" s="246"/>
      <c r="Q13" s="596" t="s">
        <v>122</v>
      </c>
      <c r="R13" s="457" t="s">
        <v>442</v>
      </c>
      <c r="S13" s="457" t="s">
        <v>563</v>
      </c>
      <c r="T13" s="569" t="s">
        <v>564</v>
      </c>
      <c r="U13" s="569"/>
      <c r="V13" s="569" t="s">
        <v>562</v>
      </c>
      <c r="W13" s="570"/>
      <c r="X13" s="238"/>
      <c r="Y13" s="246"/>
      <c r="Z13" s="360" t="s">
        <v>570</v>
      </c>
      <c r="AA13" s="361"/>
      <c r="AB13" s="365">
        <f>IF($AB$10="Yes",MAX(AB6,$AB$9),AB6)/AB6</f>
        <v>1</v>
      </c>
      <c r="AC13" s="246"/>
      <c r="AD13" s="246"/>
      <c r="AE13" s="246"/>
      <c r="AF13" s="246"/>
      <c r="AG13" s="246"/>
      <c r="AH13" s="246"/>
      <c r="AI13" s="246"/>
      <c r="AJ13" s="246"/>
      <c r="AK13" s="246"/>
      <c r="AL13" s="246"/>
      <c r="AM13" s="246"/>
      <c r="AN13" s="246"/>
      <c r="AO13" s="246"/>
      <c r="AP13" s="246"/>
      <c r="AQ13" s="246"/>
      <c r="AS13" s="232">
        <f t="shared" si="1"/>
        <v>9</v>
      </c>
      <c r="AT13" s="278">
        <f>IF(ISNUMBER(AS13),AW12,0)</f>
        <v>85.106382978723403</v>
      </c>
      <c r="AU13" s="278"/>
      <c r="AV13" s="278">
        <f t="shared" si="2"/>
        <v>12.76595744680851</v>
      </c>
      <c r="AW13" s="278">
        <f t="shared" si="6"/>
        <v>85.106382978723403</v>
      </c>
      <c r="AX13" s="232">
        <f t="shared" si="3"/>
        <v>12.76595744680851</v>
      </c>
      <c r="AY13" s="279">
        <f t="shared" si="0"/>
        <v>4.368031844348863E-2</v>
      </c>
      <c r="AZ13" s="232">
        <f t="shared" si="4"/>
        <v>2.8156722731905469E-2</v>
      </c>
      <c r="BA13" s="232"/>
    </row>
    <row r="14" spans="1:54" ht="21" customHeight="1" thickBot="1" x14ac:dyDescent="0.25">
      <c r="A14" s="246"/>
      <c r="B14" s="597" t="s">
        <v>366</v>
      </c>
      <c r="C14" s="598" t="s">
        <v>529</v>
      </c>
      <c r="D14" s="600">
        <v>20</v>
      </c>
      <c r="E14" s="235"/>
      <c r="F14" s="598" t="s">
        <v>530</v>
      </c>
      <c r="G14" s="600">
        <v>1.7608179999999999E-3</v>
      </c>
      <c r="H14" s="238"/>
      <c r="I14" s="300" t="s">
        <v>539</v>
      </c>
      <c r="J14" s="382">
        <v>1</v>
      </c>
      <c r="K14" s="316"/>
      <c r="L14" s="312" t="s">
        <v>400</v>
      </c>
      <c r="M14" s="313">
        <v>0.8</v>
      </c>
      <c r="N14" s="244"/>
      <c r="O14" s="238"/>
      <c r="P14" s="246"/>
      <c r="Q14" s="577"/>
      <c r="R14" s="462">
        <f>BA5</f>
        <v>0.63884222909511568</v>
      </c>
      <c r="S14" s="462">
        <f>AZ4</f>
        <v>0.36913541566724817</v>
      </c>
      <c r="T14" s="602">
        <f>R14+S14</f>
        <v>1.0079776447623638</v>
      </c>
      <c r="U14" s="602"/>
      <c r="V14" s="582">
        <f>T14/(Alexander!Q37/Alexander!D16)</f>
        <v>3.8278959037495535E-3</v>
      </c>
      <c r="W14" s="603"/>
      <c r="X14" s="238"/>
      <c r="Y14" s="387"/>
      <c r="Z14" s="360" t="s">
        <v>560</v>
      </c>
      <c r="AA14" s="361"/>
      <c r="AB14" s="365">
        <f>IF($AB$10="Yes",MAX(AB7,$AB$9),AB7)/AB7</f>
        <v>1</v>
      </c>
      <c r="AC14" s="246"/>
      <c r="AD14" s="246"/>
      <c r="AE14" s="246"/>
      <c r="AF14" s="246"/>
      <c r="AG14" s="246"/>
      <c r="AH14" s="246"/>
      <c r="AI14" s="246"/>
      <c r="AJ14" s="246"/>
      <c r="AK14" s="246"/>
      <c r="AL14" s="246"/>
      <c r="AM14" s="246"/>
      <c r="AN14" s="246"/>
      <c r="AO14" s="246"/>
      <c r="AP14" s="246"/>
      <c r="AQ14" s="246"/>
      <c r="AS14" s="232">
        <f t="shared" si="1"/>
        <v>10</v>
      </c>
      <c r="AT14" s="278">
        <f t="shared" si="5"/>
        <v>85.106382978723403</v>
      </c>
      <c r="AU14" s="278"/>
      <c r="AV14" s="278">
        <f t="shared" si="2"/>
        <v>12.76595744680851</v>
      </c>
      <c r="AW14" s="278">
        <f t="shared" si="6"/>
        <v>85.106382978723403</v>
      </c>
      <c r="AX14" s="232">
        <f t="shared" si="3"/>
        <v>12.76595744680851</v>
      </c>
      <c r="AY14" s="279">
        <f t="shared" si="0"/>
        <v>4.368031844348863E-2</v>
      </c>
      <c r="AZ14" s="232">
        <f t="shared" si="4"/>
        <v>2.681592641133854E-2</v>
      </c>
      <c r="BA14" s="232"/>
    </row>
    <row r="15" spans="1:54" ht="21" customHeight="1" thickBot="1" x14ac:dyDescent="0.25">
      <c r="A15" s="246"/>
      <c r="B15" s="597"/>
      <c r="C15" s="599"/>
      <c r="D15" s="601"/>
      <c r="E15" s="235"/>
      <c r="F15" s="599"/>
      <c r="G15" s="601"/>
      <c r="H15" s="238"/>
      <c r="I15" s="300" t="s">
        <v>538</v>
      </c>
      <c r="J15" s="383">
        <v>0.75</v>
      </c>
      <c r="K15" s="316"/>
      <c r="L15" s="322" t="s">
        <v>403</v>
      </c>
      <c r="M15" s="337">
        <v>3.5999999999999997E-2</v>
      </c>
      <c r="N15" s="244"/>
      <c r="O15" s="238"/>
      <c r="P15" s="246"/>
      <c r="Q15" s="463" t="s">
        <v>129</v>
      </c>
      <c r="R15" s="415"/>
      <c r="S15" s="465" t="s">
        <v>561</v>
      </c>
      <c r="T15" s="604" t="s">
        <v>560</v>
      </c>
      <c r="U15" s="605"/>
      <c r="V15" s="465" t="s">
        <v>566</v>
      </c>
      <c r="W15" s="430" t="s">
        <v>576</v>
      </c>
      <c r="X15" s="238"/>
      <c r="Y15" s="387"/>
      <c r="Z15" s="366" t="s">
        <v>566</v>
      </c>
      <c r="AA15" s="367"/>
      <c r="AB15" s="368">
        <f>IF($AB$10="Yes",MAX(AB8,$AB$9),AB8)/AB8</f>
        <v>1</v>
      </c>
      <c r="AC15" s="246"/>
      <c r="AD15" s="246"/>
      <c r="AE15" s="246"/>
      <c r="AF15" s="246"/>
      <c r="AG15" s="246"/>
      <c r="AH15" s="246"/>
      <c r="AI15" s="246"/>
      <c r="AJ15" s="246"/>
      <c r="AK15" s="246"/>
      <c r="AL15" s="246"/>
      <c r="AM15" s="246"/>
      <c r="AN15" s="246"/>
      <c r="AO15" s="246"/>
      <c r="AP15" s="246"/>
      <c r="AQ15" s="246"/>
      <c r="AS15" s="232">
        <f t="shared" si="1"/>
        <v>11</v>
      </c>
      <c r="AT15" s="278">
        <f t="shared" si="5"/>
        <v>85.106382978723403</v>
      </c>
      <c r="AU15" s="278"/>
      <c r="AV15" s="278">
        <f t="shared" si="2"/>
        <v>12.76595744680851</v>
      </c>
      <c r="AW15" s="278">
        <f t="shared" si="6"/>
        <v>85.106382978723403</v>
      </c>
      <c r="AX15" s="232">
        <f>IF(ISNUMBER(AS16),SUM(AU15:AV15),SUM(AU15:AW15))</f>
        <v>12.76595744680851</v>
      </c>
      <c r="AY15" s="279">
        <f t="shared" si="0"/>
        <v>4.368031844348863E-2</v>
      </c>
      <c r="AZ15" s="232">
        <f t="shared" si="4"/>
        <v>2.5538977534608133E-2</v>
      </c>
      <c r="BA15" s="232"/>
    </row>
    <row r="16" spans="1:54" ht="21" customHeight="1" x14ac:dyDescent="0.2">
      <c r="A16" s="246"/>
      <c r="B16" s="597"/>
      <c r="C16" s="606" t="s">
        <v>547</v>
      </c>
      <c r="D16" s="608">
        <v>0.80800000000000005</v>
      </c>
      <c r="E16" s="235"/>
      <c r="F16" s="606" t="s">
        <v>345</v>
      </c>
      <c r="G16" s="610">
        <v>40</v>
      </c>
      <c r="H16" s="238"/>
      <c r="I16" s="296" t="s">
        <v>556</v>
      </c>
      <c r="J16" s="384">
        <v>0.75</v>
      </c>
      <c r="K16" s="317"/>
      <c r="L16" s="238"/>
      <c r="M16" s="238"/>
      <c r="N16" s="244"/>
      <c r="O16" s="238"/>
      <c r="P16" s="246"/>
      <c r="Q16" s="459"/>
      <c r="R16" s="413" t="s">
        <v>126</v>
      </c>
      <c r="S16" s="490">
        <f>$T9/$T$9</f>
        <v>1</v>
      </c>
      <c r="T16" s="612">
        <f>$T9/$T$10</f>
        <v>2.4234540733504248</v>
      </c>
      <c r="U16" s="613"/>
      <c r="V16" s="490">
        <f>$T9/$T$11</f>
        <v>0.49025524298886758</v>
      </c>
      <c r="W16" s="491">
        <f>$T9/$V$14</f>
        <v>7.6565499326584066</v>
      </c>
      <c r="X16" s="238"/>
      <c r="Y16" s="387"/>
      <c r="Z16" s="246"/>
      <c r="AA16" s="246"/>
      <c r="AB16" s="246"/>
      <c r="AC16" s="246"/>
      <c r="AD16" s="246"/>
      <c r="AE16" s="246"/>
      <c r="AF16" s="246"/>
      <c r="AG16" s="246"/>
      <c r="AH16" s="246"/>
      <c r="AI16" s="246"/>
      <c r="AJ16" s="246"/>
      <c r="AK16" s="246"/>
      <c r="AL16" s="246"/>
      <c r="AM16" s="246"/>
      <c r="AN16" s="246"/>
      <c r="AO16" s="246"/>
      <c r="AP16" s="246"/>
      <c r="AQ16" s="246"/>
      <c r="AS16" s="232">
        <f t="shared" si="1"/>
        <v>12</v>
      </c>
      <c r="AT16" s="278">
        <f t="shared" si="5"/>
        <v>85.106382978723403</v>
      </c>
      <c r="AU16" s="278"/>
      <c r="AV16" s="278">
        <f t="shared" si="2"/>
        <v>12.76595744680851</v>
      </c>
      <c r="AW16" s="278">
        <f t="shared" si="6"/>
        <v>85.106382978723403</v>
      </c>
      <c r="AX16" s="232">
        <f t="shared" ref="AX16:AX81" si="7">IF(ISNUMBER(AS17),SUM(AU16:AV16),SUM(AU16:AW16))</f>
        <v>12.76595744680851</v>
      </c>
      <c r="AY16" s="279">
        <f t="shared" si="0"/>
        <v>4.368031844348863E-2</v>
      </c>
      <c r="AZ16" s="232">
        <f t="shared" si="4"/>
        <v>2.4322835747245843E-2</v>
      </c>
      <c r="BA16" s="232"/>
    </row>
    <row r="17" spans="1:54" ht="31.75" customHeight="1" x14ac:dyDescent="0.2">
      <c r="A17" s="246"/>
      <c r="B17" s="597"/>
      <c r="C17" s="607"/>
      <c r="D17" s="609"/>
      <c r="E17" s="235"/>
      <c r="F17" s="599"/>
      <c r="G17" s="611"/>
      <c r="H17" s="238"/>
      <c r="I17" s="297" t="s">
        <v>535</v>
      </c>
      <c r="J17" s="385">
        <v>0.90720000000000001</v>
      </c>
      <c r="K17" s="317"/>
      <c r="L17" s="614" t="s">
        <v>566</v>
      </c>
      <c r="M17" s="614"/>
      <c r="N17" s="244"/>
      <c r="O17" s="238"/>
      <c r="P17" s="246"/>
      <c r="Q17" s="459"/>
      <c r="R17" s="413" t="s">
        <v>127</v>
      </c>
      <c r="S17" s="490">
        <f>$T10/$T$9</f>
        <v>0.41263418646820083</v>
      </c>
      <c r="T17" s="612">
        <f>$T10/$T$10</f>
        <v>1</v>
      </c>
      <c r="U17" s="613"/>
      <c r="V17" s="490">
        <f>$T10/$T$11</f>
        <v>0.20229607335248148</v>
      </c>
      <c r="W17" s="491">
        <f>$T10/$V$14</f>
        <v>3.1593542526156591</v>
      </c>
      <c r="X17" s="238"/>
      <c r="Y17" s="387"/>
      <c r="Z17" s="246"/>
      <c r="AA17" s="246"/>
      <c r="AB17" s="246"/>
      <c r="AC17" s="246"/>
      <c r="AD17" s="246"/>
      <c r="AE17" s="246"/>
      <c r="AF17" s="246"/>
      <c r="AG17" s="246"/>
      <c r="AH17" s="246"/>
      <c r="AI17" s="246"/>
      <c r="AJ17" s="246"/>
      <c r="AK17" s="246"/>
      <c r="AL17" s="246"/>
      <c r="AM17" s="246"/>
      <c r="AN17" s="246"/>
      <c r="AO17" s="246"/>
      <c r="AP17" s="246"/>
      <c r="AQ17" s="246"/>
      <c r="AS17" s="232">
        <f>IF(AS16&lt;$D$14,AS16+1,"")</f>
        <v>13</v>
      </c>
      <c r="AT17" s="278">
        <f>IF(ISNUMBER(AS17),AW16,0)</f>
        <v>85.106382978723403</v>
      </c>
      <c r="AU17" s="278"/>
      <c r="AV17" s="278">
        <f t="shared" si="2"/>
        <v>12.76595744680851</v>
      </c>
      <c r="AW17" s="278">
        <f t="shared" si="6"/>
        <v>85.106382978723403</v>
      </c>
      <c r="AX17" s="232">
        <f>IF(ISNUMBER(AS18),SUM(AU17:AV17),SUM(AU17:AW17))</f>
        <v>12.76595744680851</v>
      </c>
      <c r="AY17" s="279">
        <f t="shared" si="0"/>
        <v>4.368031844348863E-2</v>
      </c>
      <c r="AZ17" s="232">
        <f t="shared" si="4"/>
        <v>2.3164605473567468E-2</v>
      </c>
      <c r="BA17" s="232"/>
    </row>
    <row r="18" spans="1:54" ht="30.75" customHeight="1" x14ac:dyDescent="0.2">
      <c r="A18" s="246"/>
      <c r="B18" s="597"/>
      <c r="C18" s="238"/>
      <c r="D18" s="238"/>
      <c r="E18" s="235"/>
      <c r="F18" s="310" t="s">
        <v>372</v>
      </c>
      <c r="G18" s="308">
        <v>0.16600000000000001</v>
      </c>
      <c r="H18" s="238"/>
      <c r="I18" s="307" t="s">
        <v>229</v>
      </c>
      <c r="J18" s="306">
        <v>1</v>
      </c>
      <c r="K18" s="316"/>
      <c r="L18" s="312" t="s">
        <v>78</v>
      </c>
      <c r="M18" s="137">
        <v>2</v>
      </c>
      <c r="N18" s="244"/>
      <c r="O18" s="238"/>
      <c r="P18" s="238"/>
      <c r="Q18" s="459"/>
      <c r="R18" s="413" t="s">
        <v>128</v>
      </c>
      <c r="S18" s="490">
        <f>$T11/$T$9</f>
        <v>2.0397538104915429</v>
      </c>
      <c r="T18" s="612">
        <f>$T11/$T$10</f>
        <v>4.9432496806677806</v>
      </c>
      <c r="U18" s="613"/>
      <c r="V18" s="490">
        <f>$T11/$T$11</f>
        <v>1</v>
      </c>
      <c r="W18" s="491">
        <f>$T11/$V$14</f>
        <v>15.617476900358751</v>
      </c>
      <c r="X18" s="238"/>
      <c r="Y18" s="246"/>
      <c r="Z18" s="246"/>
      <c r="AA18" s="246"/>
      <c r="AB18" s="246"/>
      <c r="AC18" s="246"/>
      <c r="AD18" s="246"/>
      <c r="AE18" s="246"/>
      <c r="AF18" s="246"/>
      <c r="AG18" s="246"/>
      <c r="AH18" s="246"/>
      <c r="AI18" s="246"/>
      <c r="AJ18" s="246"/>
      <c r="AK18" s="246"/>
      <c r="AL18" s="246"/>
      <c r="AM18" s="246"/>
      <c r="AN18" s="246"/>
      <c r="AO18" s="246"/>
      <c r="AP18" s="246"/>
      <c r="AQ18" s="246"/>
      <c r="AS18" s="232">
        <f>IF(AS17&lt;$D$14,AS17+1,"")</f>
        <v>14</v>
      </c>
      <c r="AT18" s="278">
        <f>IF(ISNUMBER(AS18),AW17,0)</f>
        <v>85.106382978723403</v>
      </c>
      <c r="AU18" s="278"/>
      <c r="AV18" s="278">
        <f t="shared" si="2"/>
        <v>12.76595744680851</v>
      </c>
      <c r="AW18" s="278">
        <f t="shared" si="6"/>
        <v>85.106382978723403</v>
      </c>
      <c r="AX18" s="232">
        <f>IF(ISNUMBER(AS19),SUM(AU18:AV18),SUM(AU18:AW18))</f>
        <v>12.76595744680851</v>
      </c>
      <c r="AY18" s="279">
        <f t="shared" si="0"/>
        <v>4.368031844348863E-2</v>
      </c>
      <c r="AZ18" s="232">
        <f t="shared" si="4"/>
        <v>2.2061529022445212E-2</v>
      </c>
      <c r="BA18" s="232"/>
    </row>
    <row r="19" spans="1:54" ht="21" customHeight="1" thickBot="1" x14ac:dyDescent="0.25">
      <c r="A19" s="246"/>
      <c r="B19" s="302"/>
      <c r="C19" s="239"/>
      <c r="D19" s="239"/>
      <c r="E19" s="239"/>
      <c r="F19" s="303"/>
      <c r="G19" s="304"/>
      <c r="H19" s="239"/>
      <c r="I19" s="239"/>
      <c r="J19" s="239"/>
      <c r="K19" s="239"/>
      <c r="L19" s="319"/>
      <c r="M19" s="239"/>
      <c r="N19" s="305"/>
      <c r="O19" s="238"/>
      <c r="P19" s="246"/>
      <c r="Q19" s="469"/>
      <c r="R19" s="414" t="s">
        <v>130</v>
      </c>
      <c r="S19" s="492">
        <f>$V14/$T$9</f>
        <v>0.13060712837966085</v>
      </c>
      <c r="T19" s="615">
        <f>$V14/$T$10</f>
        <v>0.31652037728029092</v>
      </c>
      <c r="U19" s="616"/>
      <c r="V19" s="492">
        <f>$V14/$T$11</f>
        <v>6.4030829459848851E-2</v>
      </c>
      <c r="W19" s="493">
        <f>$V14/$T$14</f>
        <v>3.7976000000000004E-3</v>
      </c>
      <c r="X19" s="238"/>
      <c r="Y19" s="246"/>
      <c r="Z19" s="246"/>
      <c r="AA19" s="246"/>
      <c r="AB19" s="246"/>
      <c r="AC19" s="246"/>
      <c r="AD19" s="246"/>
      <c r="AE19" s="246"/>
      <c r="AF19" s="246"/>
      <c r="AG19" s="246"/>
      <c r="AH19" s="246"/>
      <c r="AI19" s="246"/>
      <c r="AJ19" s="246"/>
      <c r="AK19" s="246"/>
      <c r="AL19" s="246"/>
      <c r="AM19" s="246"/>
      <c r="AN19" s="246"/>
      <c r="AO19" s="246"/>
      <c r="AP19" s="246"/>
      <c r="AQ19" s="246"/>
      <c r="AS19" s="232">
        <f>IF(AS18&lt;$D$14,AS18+1,"")</f>
        <v>15</v>
      </c>
      <c r="AT19" s="278">
        <f>IF(ISNUMBER(AS19),AW18,0)</f>
        <v>85.106382978723403</v>
      </c>
      <c r="AU19" s="278"/>
      <c r="AV19" s="278">
        <f t="shared" si="2"/>
        <v>12.76595744680851</v>
      </c>
      <c r="AW19" s="278">
        <f t="shared" si="6"/>
        <v>85.106382978723403</v>
      </c>
      <c r="AX19" s="232">
        <f t="shared" si="7"/>
        <v>12.76595744680851</v>
      </c>
      <c r="AY19" s="279">
        <f t="shared" si="0"/>
        <v>4.368031844348863E-2</v>
      </c>
      <c r="AZ19" s="232">
        <f t="shared" si="4"/>
        <v>2.1010980021376385E-2</v>
      </c>
      <c r="BA19" s="232"/>
    </row>
    <row r="20" spans="1:54" ht="9.75" customHeight="1" thickBot="1" x14ac:dyDescent="0.25">
      <c r="A20" s="246"/>
      <c r="B20" s="246"/>
      <c r="C20" s="246"/>
      <c r="D20" s="246"/>
      <c r="E20" s="246"/>
      <c r="F20" s="246"/>
      <c r="G20" s="246"/>
      <c r="H20" s="246"/>
      <c r="I20" s="246"/>
      <c r="J20" s="246"/>
      <c r="K20" s="246"/>
      <c r="L20" s="246"/>
      <c r="M20" s="246"/>
      <c r="N20" s="246"/>
      <c r="O20" s="246"/>
      <c r="P20" s="246"/>
      <c r="Q20" s="238"/>
      <c r="R20" s="238"/>
      <c r="S20" s="238"/>
      <c r="T20" s="238"/>
      <c r="U20" s="238"/>
      <c r="V20" s="238"/>
      <c r="W20" s="238"/>
      <c r="Y20" s="246"/>
      <c r="Z20" s="246"/>
      <c r="AA20" s="246"/>
      <c r="AB20" s="246"/>
      <c r="AC20" s="246"/>
      <c r="AD20" s="246"/>
      <c r="AE20" s="246"/>
      <c r="AF20" s="246"/>
      <c r="AG20" s="246"/>
      <c r="AH20" s="246"/>
      <c r="AI20" s="246"/>
      <c r="AJ20" s="246"/>
      <c r="AK20" s="246"/>
      <c r="AL20" s="246"/>
      <c r="AM20" s="246"/>
      <c r="AN20" s="246"/>
      <c r="AO20" s="246"/>
      <c r="AP20" s="246"/>
      <c r="AQ20" s="246"/>
      <c r="AS20" s="232">
        <f t="shared" si="1"/>
        <v>16</v>
      </c>
      <c r="AT20" s="278">
        <f t="shared" si="5"/>
        <v>85.106382978723403</v>
      </c>
      <c r="AU20" s="278"/>
      <c r="AV20" s="278">
        <f t="shared" si="2"/>
        <v>12.76595744680851</v>
      </c>
      <c r="AW20" s="278">
        <f t="shared" si="6"/>
        <v>85.106382978723403</v>
      </c>
      <c r="AX20" s="232">
        <f>IF(ISNUMBER(AS21),SUM(AU20:AV20),SUM(AU20:AW20))</f>
        <v>12.76595744680851</v>
      </c>
      <c r="AY20" s="279">
        <f t="shared" si="0"/>
        <v>4.368031844348863E-2</v>
      </c>
      <c r="AZ20" s="232">
        <f t="shared" si="4"/>
        <v>2.0010457163215607E-2</v>
      </c>
      <c r="BA20" s="232"/>
    </row>
    <row r="21" spans="1:54" ht="10.5" customHeight="1" x14ac:dyDescent="0.2">
      <c r="A21" s="246"/>
      <c r="B21" s="246"/>
      <c r="C21" s="246"/>
      <c r="D21" s="246"/>
      <c r="E21" s="238"/>
      <c r="F21" s="617" t="s">
        <v>562</v>
      </c>
      <c r="G21" s="257" t="s">
        <v>561</v>
      </c>
      <c r="H21" s="258"/>
      <c r="I21" s="487">
        <f>T9</f>
        <v>2.9308476124077033E-2</v>
      </c>
      <c r="J21" s="259"/>
      <c r="K21" s="260"/>
      <c r="L21" s="263"/>
      <c r="M21" s="263"/>
      <c r="N21" s="263"/>
      <c r="O21" s="263"/>
      <c r="P21" s="238"/>
      <c r="Q21" s="557" t="s">
        <v>285</v>
      </c>
      <c r="R21" s="621" t="s">
        <v>243</v>
      </c>
      <c r="S21" s="622"/>
      <c r="T21" s="355"/>
      <c r="U21" s="625" t="s">
        <v>281</v>
      </c>
      <c r="V21" s="625"/>
      <c r="W21" s="626"/>
      <c r="Y21" s="246"/>
      <c r="Z21" s="246"/>
      <c r="AA21" s="246"/>
      <c r="AB21" s="246"/>
      <c r="AC21" s="246"/>
      <c r="AD21" s="246"/>
      <c r="AE21" s="246"/>
      <c r="AF21" s="246"/>
      <c r="AG21" s="246"/>
      <c r="AH21" s="246"/>
      <c r="AI21" s="246"/>
      <c r="AJ21" s="246"/>
      <c r="AK21" s="246"/>
      <c r="AL21" s="246"/>
      <c r="AM21" s="246"/>
      <c r="AN21" s="246"/>
      <c r="AO21" s="246"/>
      <c r="AP21" s="246"/>
      <c r="AQ21" s="246"/>
      <c r="AS21" s="232">
        <f>IF(AS20&lt;$D$14,AS20+1,"")</f>
        <v>17</v>
      </c>
      <c r="AT21" s="278">
        <f>IF(ISNUMBER(AS21),AW20,0)</f>
        <v>85.106382978723403</v>
      </c>
      <c r="AU21" s="278"/>
      <c r="AV21" s="278">
        <f t="shared" si="2"/>
        <v>12.76595744680851</v>
      </c>
      <c r="AW21" s="278">
        <f t="shared" si="6"/>
        <v>85.106382978723403</v>
      </c>
      <c r="AX21" s="232">
        <f t="shared" si="7"/>
        <v>12.76595744680851</v>
      </c>
      <c r="AY21" s="279">
        <f t="shared" si="0"/>
        <v>4.368031844348863E-2</v>
      </c>
      <c r="AZ21" s="232">
        <f t="shared" si="4"/>
        <v>1.9057578250681526E-2</v>
      </c>
      <c r="BA21" s="232"/>
    </row>
    <row r="22" spans="1:54" ht="12" customHeight="1" thickBot="1" x14ac:dyDescent="0.25">
      <c r="A22" s="246"/>
      <c r="B22" s="246"/>
      <c r="C22" s="246"/>
      <c r="D22" s="246"/>
      <c r="E22" s="238"/>
      <c r="F22" s="618"/>
      <c r="G22" s="261" t="s">
        <v>560</v>
      </c>
      <c r="H22" s="262"/>
      <c r="I22" s="488">
        <f>T10</f>
        <v>1.2093679202081214E-2</v>
      </c>
      <c r="J22" s="263"/>
      <c r="K22" s="264"/>
      <c r="L22" s="263"/>
      <c r="M22" s="263"/>
      <c r="N22" s="263"/>
      <c r="O22" s="263"/>
      <c r="P22" s="238"/>
      <c r="Q22" s="619"/>
      <c r="R22" s="623"/>
      <c r="S22" s="624"/>
      <c r="T22" s="356"/>
      <c r="U22" s="627"/>
      <c r="V22" s="627"/>
      <c r="W22" s="628"/>
      <c r="Y22" s="246"/>
      <c r="Z22" s="246"/>
      <c r="AA22" s="246"/>
      <c r="AB22" s="246"/>
      <c r="AC22" s="246"/>
      <c r="AD22" s="246"/>
      <c r="AE22" s="246"/>
      <c r="AF22" s="246"/>
      <c r="AG22" s="246"/>
      <c r="AH22" s="246"/>
      <c r="AI22" s="246"/>
      <c r="AJ22" s="246"/>
      <c r="AK22" s="246"/>
      <c r="AL22" s="246"/>
      <c r="AM22" s="246"/>
      <c r="AN22" s="246"/>
      <c r="AO22" s="246"/>
      <c r="AP22" s="246"/>
      <c r="AQ22" s="246"/>
      <c r="AS22" s="232">
        <f t="shared" si="1"/>
        <v>18</v>
      </c>
      <c r="AT22" s="278">
        <f t="shared" si="5"/>
        <v>85.106382978723403</v>
      </c>
      <c r="AU22" s="278"/>
      <c r="AV22" s="278">
        <f t="shared" si="2"/>
        <v>12.76595744680851</v>
      </c>
      <c r="AW22" s="278">
        <f t="shared" si="6"/>
        <v>85.106382978723403</v>
      </c>
      <c r="AX22" s="232">
        <f t="shared" si="7"/>
        <v>12.76595744680851</v>
      </c>
      <c r="AY22" s="279">
        <f t="shared" si="0"/>
        <v>4.368031844348863E-2</v>
      </c>
      <c r="AZ22" s="232">
        <f t="shared" si="4"/>
        <v>1.8150074524458597E-2</v>
      </c>
      <c r="BA22" s="232"/>
    </row>
    <row r="23" spans="1:54" ht="10.75" customHeight="1" x14ac:dyDescent="0.2">
      <c r="A23" s="246"/>
      <c r="B23" s="565" t="s">
        <v>410</v>
      </c>
      <c r="C23" s="637"/>
      <c r="D23" s="637"/>
      <c r="E23" s="637"/>
      <c r="F23" s="618"/>
      <c r="G23" s="261" t="s">
        <v>390</v>
      </c>
      <c r="H23" s="262"/>
      <c r="I23" s="488">
        <f>T12</f>
        <v>1.6238360061564417E-2</v>
      </c>
      <c r="J23" s="263"/>
      <c r="K23" s="264"/>
      <c r="L23" s="263"/>
      <c r="M23" s="263"/>
      <c r="N23" s="263"/>
      <c r="O23" s="263"/>
      <c r="P23" s="238"/>
      <c r="Q23" s="619"/>
      <c r="R23" s="347" t="s">
        <v>566</v>
      </c>
      <c r="S23" s="494">
        <f>(R37/S37)*T5</f>
        <v>47.154514812942836</v>
      </c>
      <c r="T23" s="495"/>
      <c r="U23" s="496"/>
      <c r="V23" s="496"/>
      <c r="W23" s="497"/>
      <c r="Y23" s="246"/>
      <c r="Z23" s="246"/>
      <c r="AA23" s="246"/>
      <c r="AB23" s="246"/>
      <c r="AC23" s="246"/>
      <c r="AD23" s="246"/>
      <c r="AE23" s="246"/>
      <c r="AF23" s="246"/>
      <c r="AG23" s="246"/>
      <c r="AH23" s="246"/>
      <c r="AI23" s="246"/>
      <c r="AJ23" s="246"/>
      <c r="AK23" s="246"/>
      <c r="AL23" s="246"/>
      <c r="AM23" s="246"/>
      <c r="AN23" s="246"/>
      <c r="AO23" s="246"/>
      <c r="AP23" s="246"/>
      <c r="AQ23" s="246"/>
      <c r="AS23" s="232">
        <f t="shared" si="1"/>
        <v>19</v>
      </c>
      <c r="AT23" s="278">
        <f t="shared" si="5"/>
        <v>85.106382978723403</v>
      </c>
      <c r="AU23" s="278"/>
      <c r="AV23" s="278">
        <f t="shared" si="2"/>
        <v>12.76595744680851</v>
      </c>
      <c r="AW23" s="278">
        <f t="shared" si="6"/>
        <v>85.106382978723403</v>
      </c>
      <c r="AX23" s="232">
        <f t="shared" si="7"/>
        <v>12.76595744680851</v>
      </c>
      <c r="AY23" s="279">
        <f t="shared" si="0"/>
        <v>4.368031844348863E-2</v>
      </c>
      <c r="AZ23" s="232">
        <f t="shared" si="4"/>
        <v>1.7285785261389141E-2</v>
      </c>
      <c r="BA23" s="232"/>
    </row>
    <row r="24" spans="1:54" ht="12.75" customHeight="1" x14ac:dyDescent="0.2">
      <c r="A24" s="246"/>
      <c r="B24" s="638"/>
      <c r="C24" s="639"/>
      <c r="D24" s="639"/>
      <c r="E24" s="639"/>
      <c r="F24" s="618"/>
      <c r="G24" s="261" t="s">
        <v>542</v>
      </c>
      <c r="H24" s="262"/>
      <c r="I24" s="488">
        <f>V14</f>
        <v>3.8278959037495535E-3</v>
      </c>
      <c r="J24" s="263"/>
      <c r="K24" s="264"/>
      <c r="L24" s="263"/>
      <c r="M24" s="263"/>
      <c r="N24" s="263"/>
      <c r="O24" s="263"/>
      <c r="P24" s="238"/>
      <c r="Q24" s="619"/>
      <c r="R24" s="347" t="s">
        <v>570</v>
      </c>
      <c r="S24" s="494">
        <f>T9*$R$37</f>
        <v>83.185165059494281</v>
      </c>
      <c r="T24" s="495"/>
      <c r="U24" s="496" t="s">
        <v>570</v>
      </c>
      <c r="V24" s="496"/>
      <c r="W24" s="497">
        <f>S24/S$23</f>
        <v>1.7640975713456362</v>
      </c>
      <c r="Y24" s="246"/>
      <c r="Z24" s="246"/>
      <c r="AA24" s="246"/>
      <c r="AB24" s="246"/>
      <c r="AC24" s="246"/>
      <c r="AD24" s="246"/>
      <c r="AE24" s="246"/>
      <c r="AF24" s="246"/>
      <c r="AG24" s="246"/>
      <c r="AH24" s="246"/>
      <c r="AI24" s="246"/>
      <c r="AJ24" s="246"/>
      <c r="AK24" s="246"/>
      <c r="AL24" s="246"/>
      <c r="AM24" s="246"/>
      <c r="AN24" s="246"/>
      <c r="AO24" s="246"/>
      <c r="AP24" s="246"/>
      <c r="AQ24" s="246"/>
      <c r="AS24" s="232">
        <f t="shared" si="1"/>
        <v>20</v>
      </c>
      <c r="AT24" s="278">
        <f t="shared" si="5"/>
        <v>85.106382978723403</v>
      </c>
      <c r="AU24" s="278"/>
      <c r="AV24" s="278">
        <f t="shared" si="2"/>
        <v>12.76595744680851</v>
      </c>
      <c r="AW24" s="278">
        <f t="shared" si="6"/>
        <v>85.106382978723403</v>
      </c>
      <c r="AX24" s="232">
        <f>IF(ISNUMBER(AS25),SUM(AU24:AV24),SUM(AU24:AW24))</f>
        <v>97.872340425531917</v>
      </c>
      <c r="AY24" s="279">
        <f t="shared" si="0"/>
        <v>0.29438753399896012</v>
      </c>
      <c r="AZ24" s="232">
        <f t="shared" si="4"/>
        <v>0.11095156545312596</v>
      </c>
      <c r="BA24" s="232"/>
    </row>
    <row r="25" spans="1:54" ht="14.5" customHeight="1" thickBot="1" x14ac:dyDescent="0.25">
      <c r="A25" s="246"/>
      <c r="B25" s="638"/>
      <c r="C25" s="639"/>
      <c r="D25" s="639"/>
      <c r="E25" s="639"/>
      <c r="F25" s="265" t="s">
        <v>574</v>
      </c>
      <c r="G25" s="266"/>
      <c r="H25" s="266"/>
      <c r="I25" s="267">
        <f>V14*J37</f>
        <v>1.0944807554317879</v>
      </c>
      <c r="J25" s="263"/>
      <c r="K25" s="264"/>
      <c r="L25" s="263"/>
      <c r="M25" s="263"/>
      <c r="N25" s="263"/>
      <c r="O25" s="263"/>
      <c r="P25" s="238"/>
      <c r="Q25" s="620"/>
      <c r="R25" s="347" t="s">
        <v>560</v>
      </c>
      <c r="S25" s="494">
        <f>T10*$R$37</f>
        <v>34.325042910547431</v>
      </c>
      <c r="T25" s="495"/>
      <c r="U25" s="496" t="s">
        <v>560</v>
      </c>
      <c r="V25" s="496"/>
      <c r="W25" s="497">
        <f>S25/S$23</f>
        <v>0.72792696620273556</v>
      </c>
      <c r="Y25" s="246"/>
      <c r="Z25" s="246"/>
      <c r="AA25" s="246"/>
      <c r="AB25" s="246"/>
      <c r="AC25" s="246"/>
      <c r="AD25" s="246"/>
      <c r="AE25" s="246"/>
      <c r="AF25" s="246"/>
      <c r="AG25" s="246"/>
      <c r="AH25" s="246"/>
      <c r="AI25" s="246"/>
      <c r="AJ25" s="246"/>
      <c r="AK25" s="246"/>
      <c r="AL25" s="246"/>
      <c r="AM25" s="246"/>
      <c r="AN25" s="246"/>
      <c r="AO25" s="246"/>
      <c r="AP25" s="246"/>
      <c r="AQ25" s="246"/>
      <c r="AS25" s="232" t="str">
        <f>IF(AS24&lt;$D$14,AS24+1,"")</f>
        <v/>
      </c>
      <c r="AT25" s="278">
        <f>IF(ISNUMBER(AS25),AW24,0)</f>
        <v>0</v>
      </c>
      <c r="AU25" s="278"/>
      <c r="AV25" s="278">
        <f t="shared" si="2"/>
        <v>0</v>
      </c>
      <c r="AW25" s="278">
        <f t="shared" si="6"/>
        <v>0</v>
      </c>
      <c r="AX25" s="232">
        <f t="shared" si="7"/>
        <v>0</v>
      </c>
      <c r="AY25" s="279">
        <f t="shared" si="0"/>
        <v>0</v>
      </c>
      <c r="AZ25" s="232">
        <f t="shared" si="4"/>
        <v>0</v>
      </c>
      <c r="BA25" s="232"/>
    </row>
    <row r="26" spans="1:54" ht="12" customHeight="1" thickBot="1" x14ac:dyDescent="0.25">
      <c r="A26" s="246"/>
      <c r="B26" s="567"/>
      <c r="C26" s="640"/>
      <c r="D26" s="640"/>
      <c r="E26" s="640"/>
      <c r="F26" s="247"/>
      <c r="G26" s="238"/>
      <c r="H26" s="238"/>
      <c r="I26" s="238"/>
      <c r="J26" s="238"/>
      <c r="K26" s="244"/>
      <c r="L26" s="238"/>
      <c r="M26" s="238"/>
      <c r="N26" s="238"/>
      <c r="O26" s="263"/>
      <c r="P26" s="238"/>
      <c r="Q26" s="238"/>
      <c r="R26" s="347" t="s">
        <v>390</v>
      </c>
      <c r="S26" s="494">
        <f>T12*$R$37</f>
        <v>46.088737479839686</v>
      </c>
      <c r="T26" s="495"/>
      <c r="U26" s="496" t="s">
        <v>390</v>
      </c>
      <c r="V26" s="496"/>
      <c r="W26" s="497">
        <f>S26/S$23</f>
        <v>0.97739819108878589</v>
      </c>
      <c r="Y26" s="246"/>
      <c r="Z26" s="246"/>
      <c r="AA26" s="246"/>
      <c r="AB26" s="246"/>
      <c r="AC26" s="246"/>
      <c r="AD26" s="246"/>
      <c r="AE26" s="246"/>
      <c r="AF26" s="246"/>
      <c r="AG26" s="246"/>
      <c r="AH26" s="246"/>
      <c r="AI26" s="246"/>
      <c r="AJ26" s="246"/>
      <c r="AK26" s="246"/>
      <c r="AL26" s="246"/>
      <c r="AM26" s="246"/>
      <c r="AN26" s="246"/>
      <c r="AO26" s="246"/>
      <c r="AP26" s="246"/>
      <c r="AQ26" s="246"/>
      <c r="AS26" s="232" t="str">
        <f t="shared" si="1"/>
        <v/>
      </c>
      <c r="AT26" s="278">
        <f t="shared" si="5"/>
        <v>0</v>
      </c>
      <c r="AU26" s="278"/>
      <c r="AV26" s="278">
        <f t="shared" si="2"/>
        <v>0</v>
      </c>
      <c r="AW26" s="278">
        <f t="shared" si="6"/>
        <v>0</v>
      </c>
      <c r="AX26" s="232">
        <f t="shared" si="7"/>
        <v>0</v>
      </c>
      <c r="AY26" s="279">
        <f t="shared" si="0"/>
        <v>0</v>
      </c>
      <c r="AZ26" s="232">
        <f t="shared" si="4"/>
        <v>0</v>
      </c>
      <c r="BA26" s="232"/>
    </row>
    <row r="27" spans="1:54" ht="12.75" customHeight="1" x14ac:dyDescent="0.2">
      <c r="A27" s="246"/>
      <c r="B27" s="246"/>
      <c r="C27" s="246"/>
      <c r="D27" s="246"/>
      <c r="E27" s="238"/>
      <c r="F27" s="268" t="s">
        <v>282</v>
      </c>
      <c r="G27" s="489">
        <f>I21/I$24</f>
        <v>7.6565499326584066</v>
      </c>
      <c r="H27" s="269" t="s">
        <v>568</v>
      </c>
      <c r="I27" s="266"/>
      <c r="J27" s="266"/>
      <c r="K27" s="270"/>
      <c r="L27" s="238"/>
      <c r="M27" s="238"/>
      <c r="N27" s="238"/>
      <c r="O27" s="263"/>
      <c r="P27" s="238"/>
      <c r="R27" s="347" t="s">
        <v>542</v>
      </c>
      <c r="S27" s="494">
        <f>V14*$R$37</f>
        <v>10.864575532208647</v>
      </c>
      <c r="T27" s="495"/>
      <c r="U27" s="496" t="s">
        <v>542</v>
      </c>
      <c r="V27" s="496"/>
      <c r="W27" s="497">
        <f>S27/S$23</f>
        <v>0.2304037179749874</v>
      </c>
      <c r="Y27" s="246"/>
      <c r="Z27" s="246"/>
      <c r="AA27" s="246"/>
      <c r="AB27" s="246"/>
      <c r="AC27" s="246"/>
      <c r="AD27" s="246"/>
      <c r="AE27" s="246"/>
      <c r="AF27" s="246"/>
      <c r="AG27" s="246"/>
      <c r="AH27" s="246"/>
      <c r="AI27" s="246"/>
      <c r="AJ27" s="246"/>
      <c r="AK27" s="246"/>
      <c r="AL27" s="246"/>
      <c r="AM27" s="246"/>
      <c r="AN27" s="246"/>
      <c r="AO27" s="246"/>
      <c r="AP27" s="246"/>
      <c r="AQ27" s="246"/>
      <c r="AS27" s="232" t="str">
        <f t="shared" si="1"/>
        <v/>
      </c>
      <c r="AT27" s="278">
        <f t="shared" si="5"/>
        <v>0</v>
      </c>
      <c r="AU27" s="278"/>
      <c r="AV27" s="278">
        <f t="shared" si="2"/>
        <v>0</v>
      </c>
      <c r="AW27" s="278">
        <f t="shared" si="6"/>
        <v>0</v>
      </c>
      <c r="AX27" s="232">
        <f t="shared" si="7"/>
        <v>0</v>
      </c>
      <c r="AY27" s="279">
        <f t="shared" si="0"/>
        <v>0</v>
      </c>
      <c r="AZ27" s="232">
        <f t="shared" si="4"/>
        <v>0</v>
      </c>
      <c r="BA27" s="288"/>
      <c r="BB27" s="246"/>
    </row>
    <row r="28" spans="1:54" s="246" customFormat="1" ht="14.5" customHeight="1" x14ac:dyDescent="0.2">
      <c r="E28" s="238"/>
      <c r="F28" s="268" t="s">
        <v>569</v>
      </c>
      <c r="G28" s="489">
        <f>I22/I$24</f>
        <v>3.1593542526156591</v>
      </c>
      <c r="H28" s="269" t="s">
        <v>568</v>
      </c>
      <c r="I28" s="266"/>
      <c r="J28" s="266"/>
      <c r="K28" s="270"/>
      <c r="L28" s="238"/>
      <c r="M28" s="238"/>
      <c r="N28" s="238"/>
      <c r="O28" s="263"/>
      <c r="P28" s="238"/>
      <c r="R28" s="345" t="s">
        <v>247</v>
      </c>
      <c r="S28" s="498"/>
      <c r="T28" s="495"/>
      <c r="U28" s="495"/>
      <c r="V28" s="495"/>
      <c r="W28" s="499" t="s">
        <v>280</v>
      </c>
      <c r="AS28" s="232" t="str">
        <f t="shared" si="1"/>
        <v/>
      </c>
      <c r="AT28" s="278">
        <f t="shared" si="5"/>
        <v>0</v>
      </c>
      <c r="AU28" s="278"/>
      <c r="AV28" s="278">
        <f t="shared" si="2"/>
        <v>0</v>
      </c>
      <c r="AW28" s="278">
        <f t="shared" si="6"/>
        <v>0</v>
      </c>
      <c r="AX28" s="232">
        <f>IF(ISNUMBER(AS29),SUM(AU28:AV28),SUM(AU28:AW28))</f>
        <v>0</v>
      </c>
      <c r="AY28" s="279">
        <f t="shared" si="0"/>
        <v>0</v>
      </c>
      <c r="AZ28" s="232">
        <f t="shared" si="4"/>
        <v>0</v>
      </c>
      <c r="BA28" s="232"/>
      <c r="BB28" s="233"/>
    </row>
    <row r="29" spans="1:54" ht="13.75" customHeight="1" x14ac:dyDescent="0.2">
      <c r="A29" s="246"/>
      <c r="B29" s="246"/>
      <c r="C29" s="246"/>
      <c r="D29" s="246"/>
      <c r="E29" s="238"/>
      <c r="F29" s="268" t="s">
        <v>407</v>
      </c>
      <c r="G29" s="489">
        <f>I23/I$24</f>
        <v>4.2421111936869531</v>
      </c>
      <c r="H29" s="269" t="s">
        <v>568</v>
      </c>
      <c r="I29" s="266"/>
      <c r="J29" s="266"/>
      <c r="K29" s="270"/>
      <c r="L29" s="238"/>
      <c r="M29" s="238"/>
      <c r="N29" s="238"/>
      <c r="O29" s="263"/>
      <c r="P29" s="238"/>
      <c r="Q29" s="344"/>
      <c r="R29" s="346" t="s">
        <v>570</v>
      </c>
      <c r="S29" s="494">
        <f>IFERROR(IF(S24-S$23&gt;0,S24-S$23,"N/A"),"N/A")</f>
        <v>36.030650246551446</v>
      </c>
      <c r="T29" s="500"/>
      <c r="U29" s="496"/>
      <c r="V29" s="496"/>
      <c r="W29" s="501" t="str">
        <f>IF(AND(S29&lt;&gt;"N/A",S29&gt;=$W$33),R29,"Bednets")</f>
        <v>Bednets</v>
      </c>
      <c r="Y29" s="246"/>
      <c r="Z29" s="246"/>
      <c r="AA29" s="246"/>
      <c r="AB29" s="246"/>
      <c r="AC29" s="246"/>
      <c r="AD29" s="246"/>
      <c r="AE29" s="246"/>
      <c r="AF29" s="246"/>
      <c r="AG29" s="246"/>
      <c r="AH29" s="246"/>
      <c r="AI29" s="246"/>
      <c r="AJ29" s="246"/>
      <c r="AK29" s="246"/>
      <c r="AL29" s="246"/>
      <c r="AM29" s="246"/>
      <c r="AN29" s="246"/>
      <c r="AO29" s="246"/>
      <c r="AP29" s="246"/>
      <c r="AQ29" s="246"/>
      <c r="AS29" s="232" t="str">
        <f>IF(AS28&lt;$D$14,AS28+1,"")</f>
        <v/>
      </c>
      <c r="AT29" s="278">
        <f>IF(ISNUMBER(AS29),AW28,0)</f>
        <v>0</v>
      </c>
      <c r="AU29" s="278"/>
      <c r="AV29" s="278">
        <f t="shared" si="2"/>
        <v>0</v>
      </c>
      <c r="AW29" s="278">
        <f t="shared" si="6"/>
        <v>0</v>
      </c>
      <c r="AX29" s="232">
        <f t="shared" si="7"/>
        <v>0</v>
      </c>
      <c r="AY29" s="279">
        <f t="shared" si="0"/>
        <v>0</v>
      </c>
      <c r="AZ29" s="232">
        <f t="shared" si="4"/>
        <v>0</v>
      </c>
      <c r="BA29" s="232"/>
    </row>
    <row r="30" spans="1:54" ht="13.5" customHeight="1" x14ac:dyDescent="0.2">
      <c r="A30" s="246"/>
      <c r="B30" s="246"/>
      <c r="C30" s="246"/>
      <c r="D30" s="246"/>
      <c r="E30" s="238"/>
      <c r="F30" s="247"/>
      <c r="G30" s="238"/>
      <c r="H30" s="238"/>
      <c r="I30" s="238"/>
      <c r="J30" s="263"/>
      <c r="K30" s="264"/>
      <c r="L30" s="238"/>
      <c r="M30" s="238"/>
      <c r="N30" s="238"/>
      <c r="O30" s="263"/>
      <c r="P30" s="238"/>
      <c r="Q30" s="344"/>
      <c r="R30" s="346" t="s">
        <v>560</v>
      </c>
      <c r="S30" s="494" t="str">
        <f>IFERROR(IF(S25-S$23&gt;0,S25-S$23,"N/A"),"N/A")</f>
        <v>N/A</v>
      </c>
      <c r="T30" s="500"/>
      <c r="U30" s="496"/>
      <c r="V30" s="496"/>
      <c r="W30" s="501" t="str">
        <f>IF(AND(S30&lt;&gt;"N/A",S30&gt;=$W$33),R30,"Bednets")</f>
        <v>Bednets</v>
      </c>
      <c r="Y30" s="246"/>
      <c r="Z30" s="246"/>
      <c r="AA30" s="246"/>
      <c r="AB30" s="246"/>
      <c r="AC30" s="246"/>
      <c r="AD30" s="246"/>
      <c r="AE30" s="246"/>
      <c r="AF30" s="246"/>
      <c r="AG30" s="246"/>
      <c r="AH30" s="246"/>
      <c r="AI30" s="246"/>
      <c r="AJ30" s="246"/>
      <c r="AK30" s="246"/>
      <c r="AL30" s="246"/>
      <c r="AM30" s="246"/>
      <c r="AN30" s="246"/>
      <c r="AO30" s="246"/>
      <c r="AP30" s="246"/>
      <c r="AQ30" s="246"/>
      <c r="AS30" s="232" t="str">
        <f t="shared" si="1"/>
        <v/>
      </c>
      <c r="AT30" s="278">
        <f t="shared" si="5"/>
        <v>0</v>
      </c>
      <c r="AU30" s="278"/>
      <c r="AV30" s="278">
        <f t="shared" si="2"/>
        <v>0</v>
      </c>
      <c r="AW30" s="278">
        <f t="shared" si="6"/>
        <v>0</v>
      </c>
      <c r="AX30" s="232">
        <f>IF(ISNUMBER(AS33),SUM(AU30:AV30),SUM(AU30:AW30))</f>
        <v>0</v>
      </c>
      <c r="AY30" s="279">
        <f t="shared" si="0"/>
        <v>0</v>
      </c>
      <c r="AZ30" s="232">
        <f t="shared" si="4"/>
        <v>0</v>
      </c>
      <c r="BA30" s="232"/>
    </row>
    <row r="31" spans="1:54" ht="13.5" customHeight="1" x14ac:dyDescent="0.2">
      <c r="A31" s="246"/>
      <c r="B31" s="246"/>
      <c r="C31" s="246"/>
      <c r="D31" s="246"/>
      <c r="E31" s="238"/>
      <c r="F31" s="618" t="s">
        <v>446</v>
      </c>
      <c r="G31" s="261" t="s">
        <v>570</v>
      </c>
      <c r="H31" s="262"/>
      <c r="I31" s="431">
        <f>V9</f>
        <v>4984.906051801795</v>
      </c>
      <c r="J31" s="263"/>
      <c r="K31" s="264"/>
      <c r="L31" s="238"/>
      <c r="M31" s="238"/>
      <c r="N31" s="238"/>
      <c r="O31" s="263"/>
      <c r="P31" s="238"/>
      <c r="Q31" s="286"/>
      <c r="R31" s="346" t="s">
        <v>390</v>
      </c>
      <c r="S31" s="494" t="str">
        <f>IFERROR(IF(S26-S$23&gt;0,S26-S$23,"N/A"),"N/A")</f>
        <v>N/A</v>
      </c>
      <c r="T31" s="500"/>
      <c r="U31" s="496"/>
      <c r="V31" s="496"/>
      <c r="W31" s="501" t="str">
        <f>IF(AND(S31&lt;&gt;"N/A",S31&gt;=$W$33),R31,"Bednets")</f>
        <v>Bednets</v>
      </c>
      <c r="Y31" s="246"/>
      <c r="Z31" s="246"/>
      <c r="AA31" s="246"/>
      <c r="AB31" s="246"/>
      <c r="AC31" s="246"/>
      <c r="AD31" s="246"/>
      <c r="AE31" s="246"/>
      <c r="AF31" s="246"/>
      <c r="AG31" s="246"/>
      <c r="AH31" s="246"/>
      <c r="AI31" s="246"/>
      <c r="AJ31" s="246"/>
      <c r="AK31" s="246"/>
      <c r="AL31" s="246"/>
      <c r="AM31" s="246"/>
      <c r="AN31" s="246"/>
      <c r="AO31" s="246"/>
      <c r="AP31" s="246"/>
      <c r="AQ31" s="246"/>
      <c r="AS31" s="232"/>
      <c r="AT31" s="278"/>
      <c r="AU31" s="278"/>
      <c r="AV31" s="278"/>
      <c r="AW31" s="278"/>
      <c r="AX31" s="232"/>
      <c r="AY31" s="279"/>
      <c r="AZ31" s="232"/>
      <c r="BA31" s="232"/>
    </row>
    <row r="32" spans="1:54" ht="13.5" customHeight="1" x14ac:dyDescent="0.2">
      <c r="A32" s="246"/>
      <c r="B32" s="246"/>
      <c r="C32" s="246"/>
      <c r="D32" s="246"/>
      <c r="E32" s="238"/>
      <c r="F32" s="618"/>
      <c r="G32" s="261" t="s">
        <v>560</v>
      </c>
      <c r="H32" s="262"/>
      <c r="I32" s="431">
        <f>V10</f>
        <v>12080.690876508244</v>
      </c>
      <c r="J32" s="263"/>
      <c r="K32" s="264"/>
      <c r="L32" s="263"/>
      <c r="M32" s="263"/>
      <c r="N32" s="263"/>
      <c r="O32" s="263"/>
      <c r="P32" s="238"/>
      <c r="Q32" s="286"/>
      <c r="R32" s="352"/>
      <c r="S32" s="353"/>
      <c r="T32" s="353"/>
      <c r="U32" s="353"/>
      <c r="V32" s="353"/>
      <c r="W32" s="354"/>
      <c r="Y32" s="246"/>
      <c r="Z32" s="246"/>
      <c r="AA32" s="246"/>
      <c r="AB32" s="246"/>
      <c r="AC32" s="246"/>
      <c r="AD32" s="246"/>
      <c r="AE32" s="246"/>
      <c r="AF32" s="246"/>
      <c r="AG32" s="246"/>
      <c r="AH32" s="246"/>
      <c r="AI32" s="246"/>
      <c r="AJ32" s="246"/>
      <c r="AK32" s="246"/>
      <c r="AL32" s="246"/>
      <c r="AM32" s="246"/>
      <c r="AN32" s="246"/>
      <c r="AO32" s="246"/>
      <c r="AP32" s="246"/>
      <c r="AQ32" s="246"/>
      <c r="AS32" s="232"/>
      <c r="AT32" s="278"/>
      <c r="AU32" s="278"/>
      <c r="AV32" s="278"/>
      <c r="AW32" s="278"/>
      <c r="AX32" s="232"/>
      <c r="AY32" s="279"/>
      <c r="AZ32" s="232"/>
      <c r="BA32" s="232"/>
    </row>
    <row r="33" spans="1:53" ht="13.75" customHeight="1" thickBot="1" x14ac:dyDescent="0.25">
      <c r="A33" s="246"/>
      <c r="B33" s="246"/>
      <c r="C33" s="246"/>
      <c r="D33" s="246"/>
      <c r="E33" s="246"/>
      <c r="F33" s="618"/>
      <c r="G33" s="261" t="s">
        <v>566</v>
      </c>
      <c r="H33" s="262"/>
      <c r="I33" s="431">
        <f>V11</f>
        <v>2443.8763277027656</v>
      </c>
      <c r="J33" s="238"/>
      <c r="K33" s="244"/>
      <c r="L33" s="238"/>
      <c r="M33" s="238"/>
      <c r="N33" s="238"/>
      <c r="O33" s="238"/>
      <c r="P33" s="246"/>
      <c r="Q33" s="286"/>
      <c r="R33" s="642" t="s">
        <v>248</v>
      </c>
      <c r="S33" s="643"/>
      <c r="T33" s="643"/>
      <c r="U33" s="643"/>
      <c r="V33" s="643"/>
      <c r="W33" s="502">
        <f>$G$10*U37</f>
        <v>146.10000000000002</v>
      </c>
      <c r="X33" s="286"/>
      <c r="Y33" s="286"/>
      <c r="Z33" s="246"/>
      <c r="AA33" s="246"/>
      <c r="AB33" s="246"/>
      <c r="AC33" s="246"/>
      <c r="AD33" s="246"/>
      <c r="AE33" s="246"/>
      <c r="AF33" s="246"/>
      <c r="AG33" s="246"/>
      <c r="AH33" s="246"/>
      <c r="AI33" s="246"/>
      <c r="AJ33" s="246"/>
      <c r="AK33" s="246"/>
      <c r="AL33" s="246"/>
      <c r="AM33" s="246"/>
      <c r="AN33" s="246"/>
      <c r="AO33" s="246"/>
      <c r="AP33" s="246"/>
      <c r="AQ33" s="246"/>
      <c r="AS33" s="232" t="str">
        <f>IF(AS30&lt;$D$14,AS30+1,"")</f>
        <v/>
      </c>
      <c r="AT33" s="278">
        <f>IF(ISNUMBER(AS33),AW30,0)</f>
        <v>0</v>
      </c>
      <c r="AU33" s="278"/>
      <c r="AV33" s="278">
        <f t="shared" si="2"/>
        <v>0</v>
      </c>
      <c r="AW33" s="278">
        <f t="shared" si="6"/>
        <v>0</v>
      </c>
      <c r="AX33" s="232">
        <f>IF(ISNUMBER(AS35),SUM(AU33:AV33),SUM(AU33:AW33))</f>
        <v>0</v>
      </c>
      <c r="AY33" s="279">
        <f>LN(AX33+$J$37)-LN($J$37)</f>
        <v>0</v>
      </c>
      <c r="AZ33" s="232">
        <f t="shared" si="4"/>
        <v>0</v>
      </c>
    </row>
    <row r="34" spans="1:53" ht="13.75" customHeight="1" thickBot="1" x14ac:dyDescent="0.25">
      <c r="A34" s="246"/>
      <c r="B34" s="246"/>
      <c r="C34" s="246"/>
      <c r="D34" s="246"/>
      <c r="E34" s="246"/>
      <c r="F34" s="641"/>
      <c r="G34" s="289" t="s">
        <v>390</v>
      </c>
      <c r="H34" s="290"/>
      <c r="I34" s="432" t="str">
        <f>V12</f>
        <v>-</v>
      </c>
      <c r="J34" s="239"/>
      <c r="K34" s="325"/>
      <c r="L34" s="238"/>
      <c r="M34" s="238"/>
      <c r="N34" s="238"/>
      <c r="O34" s="238"/>
      <c r="P34" s="246"/>
      <c r="Q34" s="286"/>
      <c r="R34" s="378"/>
      <c r="S34" s="378"/>
      <c r="T34" s="378"/>
      <c r="U34" s="378"/>
      <c r="V34" s="378"/>
      <c r="W34" s="287"/>
      <c r="X34" s="287"/>
      <c r="Y34" s="286"/>
      <c r="Z34" s="246"/>
      <c r="AA34" s="246"/>
      <c r="AB34" s="246"/>
      <c r="AC34" s="246"/>
      <c r="AD34" s="246"/>
      <c r="AE34" s="246"/>
      <c r="AF34" s="246"/>
      <c r="AG34" s="246"/>
      <c r="AH34" s="246"/>
      <c r="AI34" s="246"/>
      <c r="AJ34" s="246"/>
      <c r="AK34" s="246"/>
      <c r="AL34" s="246"/>
      <c r="AM34" s="246"/>
      <c r="AN34" s="246"/>
      <c r="AO34" s="246"/>
      <c r="AP34" s="246"/>
      <c r="AQ34" s="246"/>
      <c r="AS34" s="232"/>
      <c r="AT34" s="278"/>
      <c r="AU34" s="278"/>
      <c r="AV34" s="278"/>
      <c r="AW34" s="278"/>
      <c r="AX34" s="232"/>
      <c r="AY34" s="279"/>
      <c r="AZ34" s="232"/>
    </row>
    <row r="35" spans="1:53" ht="51" customHeight="1" thickBot="1" x14ac:dyDescent="0.25">
      <c r="B35" s="246"/>
      <c r="C35" s="246"/>
      <c r="D35" s="246"/>
      <c r="E35" s="246"/>
      <c r="F35" s="246"/>
      <c r="G35" s="246"/>
      <c r="H35" s="246"/>
      <c r="I35" s="309"/>
      <c r="J35" s="309"/>
      <c r="K35" s="246"/>
      <c r="L35" s="246"/>
      <c r="M35" s="246"/>
      <c r="N35" s="246"/>
      <c r="O35" s="246"/>
      <c r="P35" s="246"/>
      <c r="Q35" s="286"/>
      <c r="R35" s="286"/>
      <c r="S35" s="286"/>
      <c r="T35" s="286"/>
      <c r="U35" s="286"/>
      <c r="W35" s="246"/>
      <c r="Y35" s="286"/>
      <c r="Z35" s="246"/>
      <c r="AA35" s="246"/>
      <c r="AB35" s="246"/>
      <c r="AC35" s="246"/>
      <c r="AD35" s="246"/>
      <c r="AE35" s="246"/>
      <c r="AF35" s="246"/>
      <c r="AG35" s="246"/>
      <c r="AH35" s="246"/>
      <c r="AI35" s="246"/>
      <c r="AJ35" s="246"/>
      <c r="AK35" s="246"/>
      <c r="AL35" s="246"/>
      <c r="AM35" s="246"/>
      <c r="AN35" s="246"/>
      <c r="AR35" s="232"/>
      <c r="AS35" s="232" t="str">
        <f>IF(AS33&lt;$D$14,AS33+1,"")</f>
        <v/>
      </c>
      <c r="AT35" s="278">
        <f>IF(ISNUMBER(AS35),AW33,0)</f>
        <v>0</v>
      </c>
      <c r="AU35" s="278"/>
      <c r="AV35" s="278">
        <f t="shared" si="2"/>
        <v>0</v>
      </c>
      <c r="AW35" s="278">
        <f t="shared" si="6"/>
        <v>0</v>
      </c>
      <c r="AX35" s="232">
        <f t="shared" si="7"/>
        <v>0</v>
      </c>
      <c r="AY35" s="279">
        <f>LN(AX35+$J$37)-LN($J$37)</f>
        <v>0</v>
      </c>
      <c r="AZ35" s="232">
        <f t="shared" si="4"/>
        <v>0</v>
      </c>
    </row>
    <row r="36" spans="1:53" ht="31.5" customHeight="1" x14ac:dyDescent="0.2">
      <c r="A36" s="246"/>
      <c r="B36" s="644" t="s">
        <v>557</v>
      </c>
      <c r="C36" s="248"/>
      <c r="D36" s="647" t="s">
        <v>552</v>
      </c>
      <c r="E36" s="648"/>
      <c r="F36" s="649"/>
      <c r="G36" s="250" t="s">
        <v>544</v>
      </c>
      <c r="H36" s="647" t="s">
        <v>555</v>
      </c>
      <c r="I36" s="649"/>
      <c r="J36" s="647" t="s">
        <v>554</v>
      </c>
      <c r="K36" s="648"/>
      <c r="L36" s="648"/>
      <c r="M36" s="648"/>
      <c r="N36" s="649"/>
      <c r="O36" s="647" t="s">
        <v>545</v>
      </c>
      <c r="P36" s="649"/>
      <c r="Q36" s="470" t="s">
        <v>546</v>
      </c>
      <c r="R36" s="281" t="s">
        <v>441</v>
      </c>
      <c r="S36" s="466" t="s">
        <v>553</v>
      </c>
      <c r="T36" s="467"/>
      <c r="U36" s="281" t="s">
        <v>435</v>
      </c>
      <c r="V36" s="281" t="s">
        <v>401</v>
      </c>
      <c r="W36" s="283" t="s">
        <v>404</v>
      </c>
      <c r="X36" s="212"/>
      <c r="Y36" s="246"/>
      <c r="Z36" s="246"/>
      <c r="AA36" s="246"/>
      <c r="AB36" s="246"/>
      <c r="AC36" s="246"/>
      <c r="AD36" s="246"/>
      <c r="AE36" s="246"/>
      <c r="AF36" s="246"/>
      <c r="AG36" s="246"/>
      <c r="AH36" s="246"/>
      <c r="AI36" s="246"/>
      <c r="AJ36" s="246"/>
      <c r="AK36" s="246"/>
      <c r="AL36" s="246"/>
      <c r="AM36" s="246"/>
      <c r="AN36" s="246"/>
      <c r="AR36" s="232"/>
      <c r="AS36" s="232" t="str">
        <f t="shared" si="1"/>
        <v/>
      </c>
      <c r="AT36" s="278">
        <f t="shared" si="5"/>
        <v>0</v>
      </c>
      <c r="AU36" s="278"/>
      <c r="AV36" s="278">
        <f t="shared" si="2"/>
        <v>0</v>
      </c>
      <c r="AW36" s="278">
        <f t="shared" si="6"/>
        <v>0</v>
      </c>
      <c r="AX36" s="232">
        <f t="shared" si="7"/>
        <v>0</v>
      </c>
      <c r="AY36" s="279">
        <f>LN(AX36+$J$37)-LN($J$37)</f>
        <v>0</v>
      </c>
      <c r="AZ36" s="232">
        <f t="shared" si="4"/>
        <v>0</v>
      </c>
      <c r="BA36" s="232"/>
    </row>
    <row r="37" spans="1:53" ht="12" customHeight="1" x14ac:dyDescent="0.2">
      <c r="A37" s="246"/>
      <c r="B37" s="645"/>
      <c r="C37" s="251" t="s">
        <v>548</v>
      </c>
      <c r="D37" s="650">
        <f>Parameters!$D$29</f>
        <v>0.26900000000000002</v>
      </c>
      <c r="E37" s="651"/>
      <c r="F37" s="652"/>
      <c r="G37" s="255">
        <f>Parameters!$D$30</f>
        <v>2.41</v>
      </c>
      <c r="H37" s="653">
        <f>Parameters!$D$61</f>
        <v>4.7</v>
      </c>
      <c r="I37" s="654"/>
      <c r="J37" s="629">
        <f>Parameters!$D$58</f>
        <v>285.92228810603416</v>
      </c>
      <c r="K37" s="630"/>
      <c r="L37" s="630"/>
      <c r="M37" s="630"/>
      <c r="N37" s="631"/>
      <c r="O37" s="632">
        <f>Parameters!$D$59</f>
        <v>1000</v>
      </c>
      <c r="P37" s="633"/>
      <c r="Q37" s="280">
        <f>Parameters!$D$60</f>
        <v>212.7659574468085</v>
      </c>
      <c r="R37" s="282">
        <f>Parameters!$D$49</f>
        <v>2838.2630576673801</v>
      </c>
      <c r="S37" s="282">
        <f>Parameters!$D$50</f>
        <v>3.6112369528824271</v>
      </c>
      <c r="T37" s="464"/>
      <c r="U37" s="340">
        <f>Parameters!$D$11</f>
        <v>36.525000000000006</v>
      </c>
      <c r="V37" s="328">
        <f>Parameters!$D$45</f>
        <v>15</v>
      </c>
      <c r="W37" s="320">
        <f>Parameters!$D$46</f>
        <v>0.43099999999999999</v>
      </c>
      <c r="X37" s="316"/>
      <c r="Y37" s="246"/>
      <c r="Z37" s="238"/>
      <c r="AA37" s="246"/>
      <c r="AB37" s="246"/>
      <c r="AC37" s="246"/>
      <c r="AD37" s="246"/>
      <c r="AE37" s="246"/>
      <c r="AF37" s="246"/>
      <c r="AG37" s="246"/>
      <c r="AH37" s="246"/>
      <c r="AI37" s="246"/>
      <c r="AJ37" s="246"/>
      <c r="AK37" s="246"/>
      <c r="AL37" s="246"/>
      <c r="AM37" s="246"/>
      <c r="AN37" s="246"/>
      <c r="AO37" s="246"/>
      <c r="AS37" s="232" t="str">
        <f t="shared" si="1"/>
        <v/>
      </c>
      <c r="AT37" s="278">
        <f t="shared" si="5"/>
        <v>0</v>
      </c>
      <c r="AU37" s="278"/>
      <c r="AV37" s="278">
        <f t="shared" si="2"/>
        <v>0</v>
      </c>
      <c r="AW37" s="278">
        <f t="shared" si="6"/>
        <v>0</v>
      </c>
      <c r="AX37" s="232">
        <f t="shared" si="7"/>
        <v>0</v>
      </c>
      <c r="AY37" s="279">
        <f>LN(AX37+$J$37)-LN($J$37)</f>
        <v>0</v>
      </c>
      <c r="AZ37" s="232">
        <f t="shared" si="4"/>
        <v>0</v>
      </c>
      <c r="BA37" s="232"/>
    </row>
    <row r="38" spans="1:53" ht="12" customHeight="1" thickBot="1" x14ac:dyDescent="0.25">
      <c r="A38" s="246"/>
      <c r="B38" s="646"/>
      <c r="C38" s="252" t="s">
        <v>549</v>
      </c>
      <c r="D38" s="634" t="s">
        <v>218</v>
      </c>
      <c r="E38" s="635"/>
      <c r="F38" s="635"/>
      <c r="G38" s="636"/>
      <c r="H38" s="392" t="s">
        <v>551</v>
      </c>
      <c r="I38" s="393"/>
      <c r="J38" s="393"/>
      <c r="K38" s="393"/>
      <c r="L38" s="393"/>
      <c r="M38" s="393"/>
      <c r="N38" s="393"/>
      <c r="O38" s="393"/>
      <c r="P38" s="393"/>
      <c r="Q38" s="394"/>
      <c r="R38" s="634" t="s">
        <v>131</v>
      </c>
      <c r="S38" s="635"/>
      <c r="T38" s="636"/>
      <c r="U38" s="329" t="s">
        <v>253</v>
      </c>
      <c r="V38" s="330" t="s">
        <v>402</v>
      </c>
      <c r="W38" s="331" t="s">
        <v>349</v>
      </c>
      <c r="X38" s="429"/>
      <c r="Y38" s="246"/>
      <c r="Z38" s="238"/>
      <c r="AA38" s="246"/>
      <c r="AB38" s="246"/>
      <c r="AC38" s="246"/>
      <c r="AD38" s="246"/>
      <c r="AE38" s="246"/>
      <c r="AF38" s="246"/>
      <c r="AG38" s="246"/>
      <c r="AH38" s="246"/>
      <c r="AI38" s="246"/>
      <c r="AJ38" s="246"/>
      <c r="AK38" s="246"/>
      <c r="AL38" s="246"/>
      <c r="AM38" s="246"/>
      <c r="AN38" s="246"/>
      <c r="AO38" s="246"/>
      <c r="AP38" s="246"/>
      <c r="AQ38" s="246"/>
      <c r="AS38" s="232" t="str">
        <f t="shared" si="1"/>
        <v/>
      </c>
      <c r="AT38" s="278">
        <f t="shared" si="5"/>
        <v>0</v>
      </c>
      <c r="AU38" s="278"/>
      <c r="AV38" s="278">
        <f t="shared" si="2"/>
        <v>0</v>
      </c>
      <c r="AW38" s="278">
        <f t="shared" si="6"/>
        <v>0</v>
      </c>
      <c r="AX38" s="232">
        <f t="shared" si="7"/>
        <v>0</v>
      </c>
      <c r="AY38" s="279">
        <f>LN(AX38+$J$37)-LN($J$37)</f>
        <v>0</v>
      </c>
      <c r="AZ38" s="232">
        <f t="shared" si="4"/>
        <v>0</v>
      </c>
      <c r="BA38" s="232"/>
    </row>
    <row r="39" spans="1:53" s="246" customFormat="1" ht="15" x14ac:dyDescent="0.2">
      <c r="J39" s="309"/>
      <c r="K39" s="309"/>
      <c r="L39" s="309"/>
      <c r="M39" s="309"/>
      <c r="Z39" s="238"/>
      <c r="AS39" s="288" t="str">
        <f t="shared" si="1"/>
        <v/>
      </c>
      <c r="AT39" s="326">
        <f t="shared" si="5"/>
        <v>0</v>
      </c>
      <c r="AU39" s="326"/>
      <c r="AV39" s="326">
        <f t="shared" si="2"/>
        <v>0</v>
      </c>
      <c r="AW39" s="326">
        <f t="shared" si="6"/>
        <v>0</v>
      </c>
      <c r="AX39" s="288">
        <f t="shared" si="7"/>
        <v>0</v>
      </c>
      <c r="AY39" s="327">
        <f t="shared" ref="AY39:AY102" si="8">LN(AX39+$J$37)-LN($J$37)</f>
        <v>0</v>
      </c>
      <c r="AZ39" s="288">
        <f t="shared" si="4"/>
        <v>0</v>
      </c>
      <c r="BA39" s="288"/>
    </row>
    <row r="40" spans="1:53" s="246" customFormat="1" ht="15" x14ac:dyDescent="0.2">
      <c r="L40" s="246" t="s">
        <v>82</v>
      </c>
      <c r="R40" s="309"/>
      <c r="AS40" s="288" t="str">
        <f t="shared" si="1"/>
        <v/>
      </c>
      <c r="AT40" s="326">
        <f t="shared" si="5"/>
        <v>0</v>
      </c>
      <c r="AU40" s="326"/>
      <c r="AV40" s="326">
        <f t="shared" si="2"/>
        <v>0</v>
      </c>
      <c r="AW40" s="326">
        <f t="shared" si="6"/>
        <v>0</v>
      </c>
      <c r="AX40" s="288">
        <f t="shared" si="7"/>
        <v>0</v>
      </c>
      <c r="AY40" s="327">
        <f t="shared" si="8"/>
        <v>0</v>
      </c>
      <c r="AZ40" s="288">
        <f t="shared" si="4"/>
        <v>0</v>
      </c>
      <c r="BA40" s="288"/>
    </row>
    <row r="41" spans="1:53" s="246" customFormat="1" ht="15" x14ac:dyDescent="0.2">
      <c r="L41" s="309">
        <f>G10*U37*EXP(1)*J37</f>
        <v>113551.45631208044</v>
      </c>
      <c r="R41" s="309"/>
      <c r="AS41" s="288" t="str">
        <f t="shared" si="1"/>
        <v/>
      </c>
      <c r="AT41" s="326">
        <f t="shared" si="5"/>
        <v>0</v>
      </c>
      <c r="AU41" s="326"/>
      <c r="AV41" s="326">
        <f t="shared" si="2"/>
        <v>0</v>
      </c>
      <c r="AW41" s="326">
        <f t="shared" si="6"/>
        <v>0</v>
      </c>
      <c r="AX41" s="288">
        <f t="shared" si="7"/>
        <v>0</v>
      </c>
      <c r="AY41" s="327">
        <f t="shared" si="8"/>
        <v>0</v>
      </c>
      <c r="AZ41" s="288">
        <f t="shared" si="4"/>
        <v>0</v>
      </c>
      <c r="BA41" s="288"/>
    </row>
    <row r="42" spans="1:53" s="246" customFormat="1" ht="15" x14ac:dyDescent="0.2">
      <c r="R42" s="309"/>
      <c r="S42" s="410"/>
      <c r="AS42" s="288" t="str">
        <f t="shared" si="1"/>
        <v/>
      </c>
      <c r="AT42" s="326">
        <f t="shared" si="5"/>
        <v>0</v>
      </c>
      <c r="AU42" s="326"/>
      <c r="AV42" s="326">
        <f t="shared" si="2"/>
        <v>0</v>
      </c>
      <c r="AW42" s="326">
        <f t="shared" si="6"/>
        <v>0</v>
      </c>
      <c r="AX42" s="288">
        <f t="shared" si="7"/>
        <v>0</v>
      </c>
      <c r="AY42" s="327">
        <f t="shared" si="8"/>
        <v>0</v>
      </c>
      <c r="AZ42" s="288">
        <f t="shared" si="4"/>
        <v>0</v>
      </c>
      <c r="BA42" s="288"/>
    </row>
    <row r="43" spans="1:53" s="246" customFormat="1" ht="15" x14ac:dyDescent="0.2">
      <c r="R43" s="412"/>
      <c r="S43" s="387"/>
      <c r="AS43" s="288" t="str">
        <f t="shared" si="1"/>
        <v/>
      </c>
      <c r="AT43" s="326">
        <f t="shared" si="5"/>
        <v>0</v>
      </c>
      <c r="AU43" s="326"/>
      <c r="AV43" s="326">
        <f t="shared" si="2"/>
        <v>0</v>
      </c>
      <c r="AW43" s="326">
        <f t="shared" si="6"/>
        <v>0</v>
      </c>
      <c r="AX43" s="288">
        <f t="shared" si="7"/>
        <v>0</v>
      </c>
      <c r="AY43" s="327">
        <f t="shared" si="8"/>
        <v>0</v>
      </c>
      <c r="AZ43" s="288">
        <f t="shared" si="4"/>
        <v>0</v>
      </c>
      <c r="BA43" s="288"/>
    </row>
    <row r="44" spans="1:53" s="246" customFormat="1" ht="15" x14ac:dyDescent="0.2">
      <c r="S44" s="387"/>
      <c r="AS44" s="288" t="str">
        <f t="shared" si="1"/>
        <v/>
      </c>
      <c r="AT44" s="326">
        <f t="shared" si="5"/>
        <v>0</v>
      </c>
      <c r="AU44" s="326"/>
      <c r="AV44" s="326">
        <f t="shared" si="2"/>
        <v>0</v>
      </c>
      <c r="AW44" s="326">
        <f t="shared" si="6"/>
        <v>0</v>
      </c>
      <c r="AX44" s="288">
        <f t="shared" si="7"/>
        <v>0</v>
      </c>
      <c r="AY44" s="327">
        <f t="shared" si="8"/>
        <v>0</v>
      </c>
      <c r="AZ44" s="288">
        <f t="shared" si="4"/>
        <v>0</v>
      </c>
      <c r="BA44" s="288"/>
    </row>
    <row r="45" spans="1:53" s="246" customFormat="1" ht="15" x14ac:dyDescent="0.2">
      <c r="S45" s="387"/>
      <c r="AS45" s="288" t="str">
        <f t="shared" si="1"/>
        <v/>
      </c>
      <c r="AT45" s="326">
        <f t="shared" si="5"/>
        <v>0</v>
      </c>
      <c r="AU45" s="326"/>
      <c r="AV45" s="326">
        <f t="shared" si="2"/>
        <v>0</v>
      </c>
      <c r="AW45" s="326">
        <f t="shared" si="6"/>
        <v>0</v>
      </c>
      <c r="AX45" s="288">
        <f t="shared" si="7"/>
        <v>0</v>
      </c>
      <c r="AY45" s="327">
        <f t="shared" si="8"/>
        <v>0</v>
      </c>
      <c r="AZ45" s="288">
        <f t="shared" si="4"/>
        <v>0</v>
      </c>
      <c r="BA45" s="288"/>
    </row>
    <row r="46" spans="1:53" s="246" customFormat="1" ht="15" x14ac:dyDescent="0.2">
      <c r="S46" s="387"/>
      <c r="AS46" s="288" t="str">
        <f t="shared" si="1"/>
        <v/>
      </c>
      <c r="AT46" s="326">
        <f t="shared" si="5"/>
        <v>0</v>
      </c>
      <c r="AU46" s="326"/>
      <c r="AV46" s="326">
        <f t="shared" si="2"/>
        <v>0</v>
      </c>
      <c r="AW46" s="326">
        <f t="shared" si="6"/>
        <v>0</v>
      </c>
      <c r="AX46" s="288">
        <f t="shared" si="7"/>
        <v>0</v>
      </c>
      <c r="AY46" s="327">
        <f t="shared" si="8"/>
        <v>0</v>
      </c>
      <c r="AZ46" s="288">
        <f t="shared" si="4"/>
        <v>0</v>
      </c>
      <c r="BA46" s="288"/>
    </row>
    <row r="47" spans="1:53" s="246" customFormat="1" ht="15" x14ac:dyDescent="0.2">
      <c r="S47" s="387"/>
      <c r="AS47" s="288" t="str">
        <f t="shared" si="1"/>
        <v/>
      </c>
      <c r="AT47" s="326">
        <f t="shared" si="5"/>
        <v>0</v>
      </c>
      <c r="AU47" s="326"/>
      <c r="AV47" s="326">
        <f t="shared" si="2"/>
        <v>0</v>
      </c>
      <c r="AW47" s="326">
        <f t="shared" si="6"/>
        <v>0</v>
      </c>
      <c r="AX47" s="288">
        <f t="shared" si="7"/>
        <v>0</v>
      </c>
      <c r="AY47" s="327">
        <f t="shared" si="8"/>
        <v>0</v>
      </c>
      <c r="AZ47" s="288">
        <f t="shared" si="4"/>
        <v>0</v>
      </c>
      <c r="BA47" s="288"/>
    </row>
    <row r="48" spans="1:53" s="246" customFormat="1" ht="15" x14ac:dyDescent="0.2">
      <c r="AS48" s="288" t="str">
        <f t="shared" si="1"/>
        <v/>
      </c>
      <c r="AT48" s="326">
        <f t="shared" si="5"/>
        <v>0</v>
      </c>
      <c r="AU48" s="326"/>
      <c r="AV48" s="326">
        <f t="shared" si="2"/>
        <v>0</v>
      </c>
      <c r="AW48" s="326">
        <f t="shared" si="6"/>
        <v>0</v>
      </c>
      <c r="AX48" s="288">
        <f t="shared" si="7"/>
        <v>0</v>
      </c>
      <c r="AY48" s="327">
        <f t="shared" si="8"/>
        <v>0</v>
      </c>
      <c r="AZ48" s="288">
        <f t="shared" si="4"/>
        <v>0</v>
      </c>
      <c r="BA48" s="288"/>
    </row>
    <row r="49" spans="45:53" s="246" customFormat="1" ht="15" x14ac:dyDescent="0.2">
      <c r="AS49" s="288" t="str">
        <f t="shared" si="1"/>
        <v/>
      </c>
      <c r="AT49" s="326">
        <f t="shared" si="5"/>
        <v>0</v>
      </c>
      <c r="AU49" s="326"/>
      <c r="AV49" s="326">
        <f t="shared" si="2"/>
        <v>0</v>
      </c>
      <c r="AW49" s="326">
        <f t="shared" si="6"/>
        <v>0</v>
      </c>
      <c r="AX49" s="288">
        <f t="shared" si="7"/>
        <v>0</v>
      </c>
      <c r="AY49" s="327">
        <f t="shared" si="8"/>
        <v>0</v>
      </c>
      <c r="AZ49" s="288">
        <f t="shared" si="4"/>
        <v>0</v>
      </c>
      <c r="BA49" s="288"/>
    </row>
    <row r="50" spans="45:53" s="246" customFormat="1" ht="15" x14ac:dyDescent="0.2">
      <c r="AS50" s="288" t="str">
        <f t="shared" si="1"/>
        <v/>
      </c>
      <c r="AT50" s="326">
        <f t="shared" si="5"/>
        <v>0</v>
      </c>
      <c r="AU50" s="326"/>
      <c r="AV50" s="326">
        <f t="shared" si="2"/>
        <v>0</v>
      </c>
      <c r="AW50" s="326">
        <f t="shared" si="6"/>
        <v>0</v>
      </c>
      <c r="AX50" s="288">
        <f t="shared" si="7"/>
        <v>0</v>
      </c>
      <c r="AY50" s="327">
        <f t="shared" si="8"/>
        <v>0</v>
      </c>
      <c r="AZ50" s="288">
        <f t="shared" si="4"/>
        <v>0</v>
      </c>
      <c r="BA50" s="288"/>
    </row>
    <row r="51" spans="45:53" s="246" customFormat="1" ht="15" x14ac:dyDescent="0.2">
      <c r="AS51" s="288" t="str">
        <f t="shared" si="1"/>
        <v/>
      </c>
      <c r="AT51" s="326">
        <f t="shared" si="5"/>
        <v>0</v>
      </c>
      <c r="AU51" s="326"/>
      <c r="AV51" s="326">
        <f t="shared" si="2"/>
        <v>0</v>
      </c>
      <c r="AW51" s="326">
        <f t="shared" si="6"/>
        <v>0</v>
      </c>
      <c r="AX51" s="288">
        <f t="shared" si="7"/>
        <v>0</v>
      </c>
      <c r="AY51" s="327">
        <f t="shared" si="8"/>
        <v>0</v>
      </c>
      <c r="AZ51" s="288">
        <f t="shared" si="4"/>
        <v>0</v>
      </c>
      <c r="BA51" s="288"/>
    </row>
    <row r="52" spans="45:53" s="246" customFormat="1" ht="15" x14ac:dyDescent="0.2">
      <c r="AS52" s="288" t="str">
        <f t="shared" si="1"/>
        <v/>
      </c>
      <c r="AT52" s="326">
        <f t="shared" si="5"/>
        <v>0</v>
      </c>
      <c r="AU52" s="326"/>
      <c r="AV52" s="326">
        <f t="shared" si="2"/>
        <v>0</v>
      </c>
      <c r="AW52" s="326">
        <f t="shared" si="6"/>
        <v>0</v>
      </c>
      <c r="AX52" s="288">
        <f t="shared" si="7"/>
        <v>0</v>
      </c>
      <c r="AY52" s="327">
        <f t="shared" si="8"/>
        <v>0</v>
      </c>
      <c r="AZ52" s="288">
        <f t="shared" si="4"/>
        <v>0</v>
      </c>
      <c r="BA52" s="288"/>
    </row>
    <row r="53" spans="45:53" s="246" customFormat="1" ht="15" x14ac:dyDescent="0.2">
      <c r="AS53" s="288" t="str">
        <f t="shared" si="1"/>
        <v/>
      </c>
      <c r="AT53" s="326">
        <f t="shared" si="5"/>
        <v>0</v>
      </c>
      <c r="AU53" s="326"/>
      <c r="AV53" s="326">
        <f t="shared" si="2"/>
        <v>0</v>
      </c>
      <c r="AW53" s="326">
        <f t="shared" si="6"/>
        <v>0</v>
      </c>
      <c r="AX53" s="288">
        <f t="shared" si="7"/>
        <v>0</v>
      </c>
      <c r="AY53" s="327">
        <f t="shared" si="8"/>
        <v>0</v>
      </c>
      <c r="AZ53" s="288">
        <f t="shared" si="4"/>
        <v>0</v>
      </c>
      <c r="BA53" s="288"/>
    </row>
    <row r="54" spans="45:53" s="246" customFormat="1" ht="15" x14ac:dyDescent="0.2">
      <c r="AS54" s="288" t="str">
        <f t="shared" si="1"/>
        <v/>
      </c>
      <c r="AT54" s="326">
        <f t="shared" si="5"/>
        <v>0</v>
      </c>
      <c r="AU54" s="326"/>
      <c r="AV54" s="326">
        <f t="shared" si="2"/>
        <v>0</v>
      </c>
      <c r="AW54" s="326">
        <f t="shared" si="6"/>
        <v>0</v>
      </c>
      <c r="AX54" s="288">
        <f t="shared" si="7"/>
        <v>0</v>
      </c>
      <c r="AY54" s="327">
        <f t="shared" si="8"/>
        <v>0</v>
      </c>
      <c r="AZ54" s="288">
        <f t="shared" si="4"/>
        <v>0</v>
      </c>
      <c r="BA54" s="288"/>
    </row>
    <row r="55" spans="45:53" s="246" customFormat="1" ht="15" x14ac:dyDescent="0.2">
      <c r="AS55" s="288" t="str">
        <f t="shared" si="1"/>
        <v/>
      </c>
      <c r="AT55" s="326">
        <f t="shared" si="5"/>
        <v>0</v>
      </c>
      <c r="AU55" s="326"/>
      <c r="AV55" s="326">
        <f t="shared" si="2"/>
        <v>0</v>
      </c>
      <c r="AW55" s="326">
        <f t="shared" si="6"/>
        <v>0</v>
      </c>
      <c r="AX55" s="288">
        <f t="shared" si="7"/>
        <v>0</v>
      </c>
      <c r="AY55" s="327">
        <f t="shared" si="8"/>
        <v>0</v>
      </c>
      <c r="AZ55" s="288">
        <f t="shared" si="4"/>
        <v>0</v>
      </c>
      <c r="BA55" s="288"/>
    </row>
    <row r="56" spans="45:53" s="246" customFormat="1" ht="15" x14ac:dyDescent="0.2">
      <c r="AS56" s="288" t="str">
        <f t="shared" si="1"/>
        <v/>
      </c>
      <c r="AT56" s="326">
        <f t="shared" si="5"/>
        <v>0</v>
      </c>
      <c r="AU56" s="326"/>
      <c r="AV56" s="326">
        <f t="shared" si="2"/>
        <v>0</v>
      </c>
      <c r="AW56" s="326">
        <f t="shared" si="6"/>
        <v>0</v>
      </c>
      <c r="AX56" s="288">
        <f t="shared" si="7"/>
        <v>0</v>
      </c>
      <c r="AY56" s="327">
        <f t="shared" si="8"/>
        <v>0</v>
      </c>
      <c r="AZ56" s="288">
        <f t="shared" si="4"/>
        <v>0</v>
      </c>
      <c r="BA56" s="288"/>
    </row>
    <row r="57" spans="45:53" s="246" customFormat="1" ht="15" x14ac:dyDescent="0.2">
      <c r="AS57" s="288" t="str">
        <f t="shared" si="1"/>
        <v/>
      </c>
      <c r="AT57" s="326">
        <f t="shared" si="5"/>
        <v>0</v>
      </c>
      <c r="AU57" s="326"/>
      <c r="AV57" s="326">
        <f t="shared" si="2"/>
        <v>0</v>
      </c>
      <c r="AW57" s="326">
        <f t="shared" si="6"/>
        <v>0</v>
      </c>
      <c r="AX57" s="288">
        <f t="shared" si="7"/>
        <v>0</v>
      </c>
      <c r="AY57" s="327">
        <f t="shared" si="8"/>
        <v>0</v>
      </c>
      <c r="AZ57" s="288">
        <f t="shared" si="4"/>
        <v>0</v>
      </c>
      <c r="BA57" s="288"/>
    </row>
    <row r="58" spans="45:53" s="246" customFormat="1" ht="15" x14ac:dyDescent="0.2">
      <c r="AS58" s="288" t="str">
        <f t="shared" si="1"/>
        <v/>
      </c>
      <c r="AT58" s="326">
        <f t="shared" si="5"/>
        <v>0</v>
      </c>
      <c r="AU58" s="326"/>
      <c r="AV58" s="326">
        <f t="shared" si="2"/>
        <v>0</v>
      </c>
      <c r="AW58" s="326">
        <f t="shared" si="6"/>
        <v>0</v>
      </c>
      <c r="AX58" s="288">
        <f t="shared" si="7"/>
        <v>0</v>
      </c>
      <c r="AY58" s="327">
        <f t="shared" si="8"/>
        <v>0</v>
      </c>
      <c r="AZ58" s="288">
        <f t="shared" si="4"/>
        <v>0</v>
      </c>
      <c r="BA58" s="288"/>
    </row>
    <row r="59" spans="45:53" s="246" customFormat="1" ht="15" x14ac:dyDescent="0.2">
      <c r="AS59" s="288" t="str">
        <f t="shared" si="1"/>
        <v/>
      </c>
      <c r="AT59" s="326">
        <f t="shared" si="5"/>
        <v>0</v>
      </c>
      <c r="AU59" s="326"/>
      <c r="AV59" s="326">
        <f t="shared" si="2"/>
        <v>0</v>
      </c>
      <c r="AW59" s="326">
        <f t="shared" si="6"/>
        <v>0</v>
      </c>
      <c r="AX59" s="288">
        <f t="shared" si="7"/>
        <v>0</v>
      </c>
      <c r="AY59" s="327">
        <f t="shared" si="8"/>
        <v>0</v>
      </c>
      <c r="AZ59" s="288">
        <f t="shared" si="4"/>
        <v>0</v>
      </c>
      <c r="BA59" s="288"/>
    </row>
    <row r="60" spans="45:53" s="246" customFormat="1" ht="15" x14ac:dyDescent="0.2">
      <c r="AS60" s="288" t="str">
        <f t="shared" si="1"/>
        <v/>
      </c>
      <c r="AT60" s="326">
        <f t="shared" si="5"/>
        <v>0</v>
      </c>
      <c r="AU60" s="326"/>
      <c r="AV60" s="326">
        <f t="shared" si="2"/>
        <v>0</v>
      </c>
      <c r="AW60" s="326">
        <f t="shared" si="6"/>
        <v>0</v>
      </c>
      <c r="AX60" s="288">
        <f t="shared" si="7"/>
        <v>0</v>
      </c>
      <c r="AY60" s="327">
        <f t="shared" si="8"/>
        <v>0</v>
      </c>
      <c r="AZ60" s="288">
        <f t="shared" si="4"/>
        <v>0</v>
      </c>
      <c r="BA60" s="288"/>
    </row>
    <row r="61" spans="45:53" s="246" customFormat="1" ht="15" x14ac:dyDescent="0.2">
      <c r="AS61" s="288" t="str">
        <f t="shared" si="1"/>
        <v/>
      </c>
      <c r="AT61" s="326">
        <f t="shared" si="5"/>
        <v>0</v>
      </c>
      <c r="AU61" s="326"/>
      <c r="AV61" s="326">
        <f t="shared" si="2"/>
        <v>0</v>
      </c>
      <c r="AW61" s="326">
        <f t="shared" si="6"/>
        <v>0</v>
      </c>
      <c r="AX61" s="288">
        <f t="shared" si="7"/>
        <v>0</v>
      </c>
      <c r="AY61" s="327">
        <f t="shared" si="8"/>
        <v>0</v>
      </c>
      <c r="AZ61" s="288">
        <f t="shared" si="4"/>
        <v>0</v>
      </c>
      <c r="BA61" s="288"/>
    </row>
    <row r="62" spans="45:53" s="246" customFormat="1" ht="15" x14ac:dyDescent="0.2">
      <c r="AS62" s="288" t="str">
        <f t="shared" si="1"/>
        <v/>
      </c>
      <c r="AT62" s="326">
        <f t="shared" si="5"/>
        <v>0</v>
      </c>
      <c r="AU62" s="326"/>
      <c r="AV62" s="326">
        <f t="shared" si="2"/>
        <v>0</v>
      </c>
      <c r="AW62" s="326">
        <f t="shared" si="6"/>
        <v>0</v>
      </c>
      <c r="AX62" s="288">
        <f t="shared" si="7"/>
        <v>0</v>
      </c>
      <c r="AY62" s="327">
        <f t="shared" si="8"/>
        <v>0</v>
      </c>
      <c r="AZ62" s="288">
        <f t="shared" si="4"/>
        <v>0</v>
      </c>
      <c r="BA62" s="288"/>
    </row>
    <row r="63" spans="45:53" s="246" customFormat="1" ht="15" x14ac:dyDescent="0.2">
      <c r="AS63" s="288" t="str">
        <f t="shared" si="1"/>
        <v/>
      </c>
      <c r="AT63" s="326">
        <f t="shared" si="5"/>
        <v>0</v>
      </c>
      <c r="AU63" s="326"/>
      <c r="AV63" s="326">
        <f t="shared" si="2"/>
        <v>0</v>
      </c>
      <c r="AW63" s="326">
        <f t="shared" si="6"/>
        <v>0</v>
      </c>
      <c r="AX63" s="288">
        <f t="shared" si="7"/>
        <v>0</v>
      </c>
      <c r="AY63" s="327">
        <f t="shared" si="8"/>
        <v>0</v>
      </c>
      <c r="AZ63" s="288">
        <f t="shared" si="4"/>
        <v>0</v>
      </c>
      <c r="BA63" s="288"/>
    </row>
    <row r="64" spans="45:53" s="246" customFormat="1" ht="15" x14ac:dyDescent="0.2">
      <c r="AS64" s="288" t="str">
        <f t="shared" si="1"/>
        <v/>
      </c>
      <c r="AT64" s="326">
        <f t="shared" si="5"/>
        <v>0</v>
      </c>
      <c r="AU64" s="326"/>
      <c r="AV64" s="326">
        <f t="shared" si="2"/>
        <v>0</v>
      </c>
      <c r="AW64" s="326">
        <f t="shared" si="6"/>
        <v>0</v>
      </c>
      <c r="AX64" s="288">
        <f t="shared" si="7"/>
        <v>0</v>
      </c>
      <c r="AY64" s="327">
        <f t="shared" si="8"/>
        <v>0</v>
      </c>
      <c r="AZ64" s="288">
        <f t="shared" si="4"/>
        <v>0</v>
      </c>
      <c r="BA64" s="288"/>
    </row>
    <row r="65" spans="45:53" s="246" customFormat="1" ht="15" x14ac:dyDescent="0.2">
      <c r="AS65" s="288" t="str">
        <f t="shared" si="1"/>
        <v/>
      </c>
      <c r="AT65" s="326">
        <f t="shared" si="5"/>
        <v>0</v>
      </c>
      <c r="AU65" s="326"/>
      <c r="AV65" s="326">
        <f t="shared" si="2"/>
        <v>0</v>
      </c>
      <c r="AW65" s="326">
        <f t="shared" si="6"/>
        <v>0</v>
      </c>
      <c r="AX65" s="288">
        <f t="shared" si="7"/>
        <v>0</v>
      </c>
      <c r="AY65" s="327">
        <f t="shared" si="8"/>
        <v>0</v>
      </c>
      <c r="AZ65" s="288">
        <f t="shared" si="4"/>
        <v>0</v>
      </c>
      <c r="BA65" s="288"/>
    </row>
    <row r="66" spans="45:53" s="246" customFormat="1" ht="15" x14ac:dyDescent="0.2">
      <c r="AS66" s="288" t="str">
        <f t="shared" si="1"/>
        <v/>
      </c>
      <c r="AT66" s="326">
        <f t="shared" si="5"/>
        <v>0</v>
      </c>
      <c r="AU66" s="326"/>
      <c r="AV66" s="326">
        <f t="shared" si="2"/>
        <v>0</v>
      </c>
      <c r="AW66" s="326">
        <f t="shared" si="6"/>
        <v>0</v>
      </c>
      <c r="AX66" s="288">
        <f t="shared" si="7"/>
        <v>0</v>
      </c>
      <c r="AY66" s="327">
        <f t="shared" si="8"/>
        <v>0</v>
      </c>
      <c r="AZ66" s="288">
        <f t="shared" si="4"/>
        <v>0</v>
      </c>
      <c r="BA66" s="288"/>
    </row>
    <row r="67" spans="45:53" s="246" customFormat="1" ht="15" x14ac:dyDescent="0.2">
      <c r="AS67" s="288" t="str">
        <f t="shared" si="1"/>
        <v/>
      </c>
      <c r="AT67" s="326">
        <f t="shared" si="5"/>
        <v>0</v>
      </c>
      <c r="AU67" s="326"/>
      <c r="AV67" s="326">
        <f t="shared" si="2"/>
        <v>0</v>
      </c>
      <c r="AW67" s="326">
        <f t="shared" si="6"/>
        <v>0</v>
      </c>
      <c r="AX67" s="288">
        <f t="shared" si="7"/>
        <v>0</v>
      </c>
      <c r="AY67" s="327">
        <f t="shared" si="8"/>
        <v>0</v>
      </c>
      <c r="AZ67" s="288">
        <f t="shared" si="4"/>
        <v>0</v>
      </c>
      <c r="BA67" s="288"/>
    </row>
    <row r="68" spans="45:53" s="246" customFormat="1" ht="15" x14ac:dyDescent="0.2">
      <c r="AS68" s="288" t="str">
        <f t="shared" si="1"/>
        <v/>
      </c>
      <c r="AT68" s="326">
        <f t="shared" si="5"/>
        <v>0</v>
      </c>
      <c r="AU68" s="326"/>
      <c r="AV68" s="326">
        <f t="shared" si="2"/>
        <v>0</v>
      </c>
      <c r="AW68" s="326">
        <f t="shared" si="6"/>
        <v>0</v>
      </c>
      <c r="AX68" s="288">
        <f t="shared" si="7"/>
        <v>0</v>
      </c>
      <c r="AY68" s="327">
        <f t="shared" si="8"/>
        <v>0</v>
      </c>
      <c r="AZ68" s="288">
        <f t="shared" si="4"/>
        <v>0</v>
      </c>
      <c r="BA68" s="288"/>
    </row>
    <row r="69" spans="45:53" s="246" customFormat="1" ht="15" x14ac:dyDescent="0.2">
      <c r="AS69" s="288" t="str">
        <f t="shared" ref="AS69:AS114" si="9">IF(AS68&lt;$D$14,AS68+1,"")</f>
        <v/>
      </c>
      <c r="AT69" s="326">
        <f t="shared" si="5"/>
        <v>0</v>
      </c>
      <c r="AU69" s="326"/>
      <c r="AV69" s="326">
        <f t="shared" si="2"/>
        <v>0</v>
      </c>
      <c r="AW69" s="326">
        <f t="shared" si="6"/>
        <v>0</v>
      </c>
      <c r="AX69" s="288">
        <f t="shared" si="7"/>
        <v>0</v>
      </c>
      <c r="AY69" s="327">
        <f t="shared" si="8"/>
        <v>0</v>
      </c>
      <c r="AZ69" s="288">
        <f t="shared" si="4"/>
        <v>0</v>
      </c>
      <c r="BA69" s="288"/>
    </row>
    <row r="70" spans="45:53" s="246" customFormat="1" ht="15" x14ac:dyDescent="0.2">
      <c r="AS70" s="288" t="str">
        <f t="shared" si="9"/>
        <v/>
      </c>
      <c r="AT70" s="326">
        <f t="shared" si="5"/>
        <v>0</v>
      </c>
      <c r="AU70" s="326"/>
      <c r="AV70" s="326">
        <f t="shared" si="2"/>
        <v>0</v>
      </c>
      <c r="AW70" s="326">
        <f t="shared" si="6"/>
        <v>0</v>
      </c>
      <c r="AX70" s="288">
        <f t="shared" si="7"/>
        <v>0</v>
      </c>
      <c r="AY70" s="327">
        <f t="shared" si="8"/>
        <v>0</v>
      </c>
      <c r="AZ70" s="288">
        <f t="shared" si="4"/>
        <v>0</v>
      </c>
      <c r="BA70" s="288"/>
    </row>
    <row r="71" spans="45:53" s="246" customFormat="1" ht="15" x14ac:dyDescent="0.2">
      <c r="AS71" s="288" t="str">
        <f t="shared" si="9"/>
        <v/>
      </c>
      <c r="AT71" s="326">
        <f t="shared" si="5"/>
        <v>0</v>
      </c>
      <c r="AU71" s="326"/>
      <c r="AV71" s="326">
        <f t="shared" si="2"/>
        <v>0</v>
      </c>
      <c r="AW71" s="326">
        <f t="shared" si="6"/>
        <v>0</v>
      </c>
      <c r="AX71" s="288">
        <f t="shared" si="7"/>
        <v>0</v>
      </c>
      <c r="AY71" s="327">
        <f t="shared" si="8"/>
        <v>0</v>
      </c>
      <c r="AZ71" s="288">
        <f t="shared" si="4"/>
        <v>0</v>
      </c>
      <c r="BA71" s="288"/>
    </row>
    <row r="72" spans="45:53" s="246" customFormat="1" ht="15" x14ac:dyDescent="0.2">
      <c r="AS72" s="288" t="str">
        <f t="shared" si="9"/>
        <v/>
      </c>
      <c r="AT72" s="326">
        <f t="shared" si="5"/>
        <v>0</v>
      </c>
      <c r="AU72" s="326"/>
      <c r="AV72" s="326">
        <f t="shared" ref="AV72:AV114" si="10">$D$10*AT72</f>
        <v>0</v>
      </c>
      <c r="AW72" s="326">
        <f t="shared" si="6"/>
        <v>0</v>
      </c>
      <c r="AX72" s="288">
        <f t="shared" si="7"/>
        <v>0</v>
      </c>
      <c r="AY72" s="327">
        <f t="shared" si="8"/>
        <v>0</v>
      </c>
      <c r="AZ72" s="288">
        <f t="shared" ref="AZ72:AZ114" si="11">IF(ISNUMBER(AS72),AY72/(1+$D$7)^AS72,0)</f>
        <v>0</v>
      </c>
      <c r="BA72" s="288"/>
    </row>
    <row r="73" spans="45:53" s="246" customFormat="1" ht="15" x14ac:dyDescent="0.2">
      <c r="AS73" s="288" t="str">
        <f t="shared" si="9"/>
        <v/>
      </c>
      <c r="AT73" s="326">
        <f t="shared" ref="AT73:AT114" si="12">IF(ISNUMBER(AS73),AW72,0)</f>
        <v>0</v>
      </c>
      <c r="AU73" s="326"/>
      <c r="AV73" s="326">
        <f t="shared" si="10"/>
        <v>0</v>
      </c>
      <c r="AW73" s="326">
        <f t="shared" ref="AW73:AW114" si="13">AT73</f>
        <v>0</v>
      </c>
      <c r="AX73" s="288">
        <f t="shared" si="7"/>
        <v>0</v>
      </c>
      <c r="AY73" s="327">
        <f t="shared" si="8"/>
        <v>0</v>
      </c>
      <c r="AZ73" s="288">
        <f t="shared" si="11"/>
        <v>0</v>
      </c>
      <c r="BA73" s="288"/>
    </row>
    <row r="74" spans="45:53" s="246" customFormat="1" ht="15" x14ac:dyDescent="0.2">
      <c r="AS74" s="288" t="str">
        <f t="shared" si="9"/>
        <v/>
      </c>
      <c r="AT74" s="326">
        <f t="shared" si="12"/>
        <v>0</v>
      </c>
      <c r="AU74" s="326"/>
      <c r="AV74" s="326">
        <f t="shared" si="10"/>
        <v>0</v>
      </c>
      <c r="AW74" s="326">
        <f t="shared" si="13"/>
        <v>0</v>
      </c>
      <c r="AX74" s="288">
        <f t="shared" si="7"/>
        <v>0</v>
      </c>
      <c r="AY74" s="327">
        <f t="shared" si="8"/>
        <v>0</v>
      </c>
      <c r="AZ74" s="288">
        <f t="shared" si="11"/>
        <v>0</v>
      </c>
      <c r="BA74" s="288"/>
    </row>
    <row r="75" spans="45:53" s="246" customFormat="1" ht="15" x14ac:dyDescent="0.2">
      <c r="AS75" s="288" t="str">
        <f t="shared" si="9"/>
        <v/>
      </c>
      <c r="AT75" s="326">
        <f t="shared" si="12"/>
        <v>0</v>
      </c>
      <c r="AU75" s="326"/>
      <c r="AV75" s="326">
        <f t="shared" si="10"/>
        <v>0</v>
      </c>
      <c r="AW75" s="326">
        <f t="shared" si="13"/>
        <v>0</v>
      </c>
      <c r="AX75" s="288">
        <f t="shared" si="7"/>
        <v>0</v>
      </c>
      <c r="AY75" s="327">
        <f t="shared" si="8"/>
        <v>0</v>
      </c>
      <c r="AZ75" s="288">
        <f t="shared" si="11"/>
        <v>0</v>
      </c>
      <c r="BA75" s="288"/>
    </row>
    <row r="76" spans="45:53" s="246" customFormat="1" ht="15" x14ac:dyDescent="0.2">
      <c r="AS76" s="288" t="str">
        <f t="shared" si="9"/>
        <v/>
      </c>
      <c r="AT76" s="326">
        <f t="shared" si="12"/>
        <v>0</v>
      </c>
      <c r="AU76" s="326"/>
      <c r="AV76" s="326">
        <f t="shared" si="10"/>
        <v>0</v>
      </c>
      <c r="AW76" s="326">
        <f t="shared" si="13"/>
        <v>0</v>
      </c>
      <c r="AX76" s="288">
        <f t="shared" si="7"/>
        <v>0</v>
      </c>
      <c r="AY76" s="327">
        <f t="shared" si="8"/>
        <v>0</v>
      </c>
      <c r="AZ76" s="288">
        <f t="shared" si="11"/>
        <v>0</v>
      </c>
      <c r="BA76" s="288"/>
    </row>
    <row r="77" spans="45:53" s="246" customFormat="1" ht="15" x14ac:dyDescent="0.2">
      <c r="AS77" s="288" t="str">
        <f t="shared" si="9"/>
        <v/>
      </c>
      <c r="AT77" s="326">
        <f t="shared" si="12"/>
        <v>0</v>
      </c>
      <c r="AU77" s="326"/>
      <c r="AV77" s="326">
        <f t="shared" si="10"/>
        <v>0</v>
      </c>
      <c r="AW77" s="326">
        <f t="shared" si="13"/>
        <v>0</v>
      </c>
      <c r="AX77" s="288">
        <f t="shared" si="7"/>
        <v>0</v>
      </c>
      <c r="AY77" s="327">
        <f t="shared" si="8"/>
        <v>0</v>
      </c>
      <c r="AZ77" s="288">
        <f t="shared" si="11"/>
        <v>0</v>
      </c>
      <c r="BA77" s="288"/>
    </row>
    <row r="78" spans="45:53" s="246" customFormat="1" ht="15" x14ac:dyDescent="0.2">
      <c r="AS78" s="288" t="str">
        <f t="shared" si="9"/>
        <v/>
      </c>
      <c r="AT78" s="326">
        <f t="shared" si="12"/>
        <v>0</v>
      </c>
      <c r="AU78" s="326"/>
      <c r="AV78" s="326">
        <f t="shared" si="10"/>
        <v>0</v>
      </c>
      <c r="AW78" s="326">
        <f t="shared" si="13"/>
        <v>0</v>
      </c>
      <c r="AX78" s="288">
        <f t="shared" si="7"/>
        <v>0</v>
      </c>
      <c r="AY78" s="327">
        <f t="shared" si="8"/>
        <v>0</v>
      </c>
      <c r="AZ78" s="288">
        <f t="shared" si="11"/>
        <v>0</v>
      </c>
      <c r="BA78" s="288"/>
    </row>
    <row r="79" spans="45:53" s="246" customFormat="1" ht="15" x14ac:dyDescent="0.2">
      <c r="AS79" s="288" t="str">
        <f t="shared" si="9"/>
        <v/>
      </c>
      <c r="AT79" s="326">
        <f t="shared" si="12"/>
        <v>0</v>
      </c>
      <c r="AU79" s="326"/>
      <c r="AV79" s="326">
        <f t="shared" si="10"/>
        <v>0</v>
      </c>
      <c r="AW79" s="326">
        <f t="shared" si="13"/>
        <v>0</v>
      </c>
      <c r="AX79" s="288">
        <f t="shared" si="7"/>
        <v>0</v>
      </c>
      <c r="AY79" s="327">
        <f t="shared" si="8"/>
        <v>0</v>
      </c>
      <c r="AZ79" s="288">
        <f t="shared" si="11"/>
        <v>0</v>
      </c>
      <c r="BA79" s="288"/>
    </row>
    <row r="80" spans="45:53" s="246" customFormat="1" ht="15" x14ac:dyDescent="0.2">
      <c r="AS80" s="288" t="str">
        <f t="shared" si="9"/>
        <v/>
      </c>
      <c r="AT80" s="326">
        <f t="shared" si="12"/>
        <v>0</v>
      </c>
      <c r="AU80" s="326"/>
      <c r="AV80" s="326">
        <f t="shared" si="10"/>
        <v>0</v>
      </c>
      <c r="AW80" s="326">
        <f t="shared" si="13"/>
        <v>0</v>
      </c>
      <c r="AX80" s="288">
        <f t="shared" si="7"/>
        <v>0</v>
      </c>
      <c r="AY80" s="327">
        <f t="shared" si="8"/>
        <v>0</v>
      </c>
      <c r="AZ80" s="288">
        <f t="shared" si="11"/>
        <v>0</v>
      </c>
      <c r="BA80" s="288"/>
    </row>
    <row r="81" spans="45:53" s="246" customFormat="1" ht="15" x14ac:dyDescent="0.2">
      <c r="AS81" s="288" t="str">
        <f t="shared" si="9"/>
        <v/>
      </c>
      <c r="AT81" s="326">
        <f t="shared" si="12"/>
        <v>0</v>
      </c>
      <c r="AU81" s="326"/>
      <c r="AV81" s="326">
        <f t="shared" si="10"/>
        <v>0</v>
      </c>
      <c r="AW81" s="326">
        <f t="shared" si="13"/>
        <v>0</v>
      </c>
      <c r="AX81" s="288">
        <f t="shared" si="7"/>
        <v>0</v>
      </c>
      <c r="AY81" s="327">
        <f t="shared" si="8"/>
        <v>0</v>
      </c>
      <c r="AZ81" s="288">
        <f t="shared" si="11"/>
        <v>0</v>
      </c>
      <c r="BA81" s="288"/>
    </row>
    <row r="82" spans="45:53" s="246" customFormat="1" ht="15" x14ac:dyDescent="0.2">
      <c r="AS82" s="288" t="str">
        <f t="shared" si="9"/>
        <v/>
      </c>
      <c r="AT82" s="326">
        <f t="shared" si="12"/>
        <v>0</v>
      </c>
      <c r="AU82" s="326"/>
      <c r="AV82" s="326">
        <f t="shared" si="10"/>
        <v>0</v>
      </c>
      <c r="AW82" s="326">
        <f t="shared" si="13"/>
        <v>0</v>
      </c>
      <c r="AX82" s="288">
        <f t="shared" ref="AX82:AX114" si="14">IF(ISNUMBER(AS83),SUM(AU82:AV82),SUM(AU82:AW82))</f>
        <v>0</v>
      </c>
      <c r="AY82" s="327">
        <f t="shared" si="8"/>
        <v>0</v>
      </c>
      <c r="AZ82" s="288">
        <f t="shared" si="11"/>
        <v>0</v>
      </c>
      <c r="BA82" s="288"/>
    </row>
    <row r="83" spans="45:53" s="246" customFormat="1" ht="15" x14ac:dyDescent="0.2">
      <c r="AS83" s="288" t="str">
        <f t="shared" si="9"/>
        <v/>
      </c>
      <c r="AT83" s="326">
        <f t="shared" si="12"/>
        <v>0</v>
      </c>
      <c r="AU83" s="326"/>
      <c r="AV83" s="326">
        <f t="shared" si="10"/>
        <v>0</v>
      </c>
      <c r="AW83" s="326">
        <f t="shared" si="13"/>
        <v>0</v>
      </c>
      <c r="AX83" s="288">
        <f t="shared" si="14"/>
        <v>0</v>
      </c>
      <c r="AY83" s="327">
        <f t="shared" si="8"/>
        <v>0</v>
      </c>
      <c r="AZ83" s="288">
        <f t="shared" si="11"/>
        <v>0</v>
      </c>
      <c r="BA83" s="288"/>
    </row>
    <row r="84" spans="45:53" s="246" customFormat="1" ht="15" x14ac:dyDescent="0.2">
      <c r="AS84" s="288" t="str">
        <f t="shared" si="9"/>
        <v/>
      </c>
      <c r="AT84" s="326">
        <f t="shared" si="12"/>
        <v>0</v>
      </c>
      <c r="AU84" s="326"/>
      <c r="AV84" s="326">
        <f t="shared" si="10"/>
        <v>0</v>
      </c>
      <c r="AW84" s="326">
        <f t="shared" si="13"/>
        <v>0</v>
      </c>
      <c r="AX84" s="288">
        <f t="shared" si="14"/>
        <v>0</v>
      </c>
      <c r="AY84" s="327">
        <f t="shared" si="8"/>
        <v>0</v>
      </c>
      <c r="AZ84" s="288">
        <f t="shared" si="11"/>
        <v>0</v>
      </c>
      <c r="BA84" s="288"/>
    </row>
    <row r="85" spans="45:53" s="246" customFormat="1" ht="15" x14ac:dyDescent="0.2">
      <c r="AS85" s="288" t="str">
        <f t="shared" si="9"/>
        <v/>
      </c>
      <c r="AT85" s="326">
        <f t="shared" si="12"/>
        <v>0</v>
      </c>
      <c r="AU85" s="326"/>
      <c r="AV85" s="326">
        <f t="shared" si="10"/>
        <v>0</v>
      </c>
      <c r="AW85" s="326">
        <f t="shared" si="13"/>
        <v>0</v>
      </c>
      <c r="AX85" s="288">
        <f t="shared" si="14"/>
        <v>0</v>
      </c>
      <c r="AY85" s="327">
        <f t="shared" si="8"/>
        <v>0</v>
      </c>
      <c r="AZ85" s="288">
        <f t="shared" si="11"/>
        <v>0</v>
      </c>
      <c r="BA85" s="288"/>
    </row>
    <row r="86" spans="45:53" s="246" customFormat="1" ht="15" x14ac:dyDescent="0.2">
      <c r="AS86" s="288" t="str">
        <f t="shared" si="9"/>
        <v/>
      </c>
      <c r="AT86" s="326">
        <f t="shared" si="12"/>
        <v>0</v>
      </c>
      <c r="AU86" s="326"/>
      <c r="AV86" s="326">
        <f t="shared" si="10"/>
        <v>0</v>
      </c>
      <c r="AW86" s="326">
        <f t="shared" si="13"/>
        <v>0</v>
      </c>
      <c r="AX86" s="288">
        <f t="shared" si="14"/>
        <v>0</v>
      </c>
      <c r="AY86" s="327">
        <f t="shared" si="8"/>
        <v>0</v>
      </c>
      <c r="AZ86" s="288">
        <f t="shared" si="11"/>
        <v>0</v>
      </c>
      <c r="BA86" s="288"/>
    </row>
    <row r="87" spans="45:53" s="246" customFormat="1" ht="15" x14ac:dyDescent="0.2">
      <c r="AS87" s="288" t="str">
        <f t="shared" si="9"/>
        <v/>
      </c>
      <c r="AT87" s="326">
        <f t="shared" si="12"/>
        <v>0</v>
      </c>
      <c r="AU87" s="326"/>
      <c r="AV87" s="326">
        <f t="shared" si="10"/>
        <v>0</v>
      </c>
      <c r="AW87" s="326">
        <f t="shared" si="13"/>
        <v>0</v>
      </c>
      <c r="AX87" s="288">
        <f t="shared" si="14"/>
        <v>0</v>
      </c>
      <c r="AY87" s="327">
        <f t="shared" si="8"/>
        <v>0</v>
      </c>
      <c r="AZ87" s="288">
        <f t="shared" si="11"/>
        <v>0</v>
      </c>
      <c r="BA87" s="288"/>
    </row>
    <row r="88" spans="45:53" s="246" customFormat="1" ht="15" x14ac:dyDescent="0.2">
      <c r="AS88" s="288" t="str">
        <f t="shared" si="9"/>
        <v/>
      </c>
      <c r="AT88" s="326">
        <f t="shared" si="12"/>
        <v>0</v>
      </c>
      <c r="AU88" s="326"/>
      <c r="AV88" s="326">
        <f t="shared" si="10"/>
        <v>0</v>
      </c>
      <c r="AW88" s="326">
        <f t="shared" si="13"/>
        <v>0</v>
      </c>
      <c r="AX88" s="288">
        <f t="shared" si="14"/>
        <v>0</v>
      </c>
      <c r="AY88" s="327">
        <f t="shared" si="8"/>
        <v>0</v>
      </c>
      <c r="AZ88" s="288">
        <f t="shared" si="11"/>
        <v>0</v>
      </c>
      <c r="BA88" s="288"/>
    </row>
    <row r="89" spans="45:53" s="246" customFormat="1" ht="15" x14ac:dyDescent="0.2">
      <c r="AS89" s="288" t="str">
        <f t="shared" si="9"/>
        <v/>
      </c>
      <c r="AT89" s="326">
        <f t="shared" si="12"/>
        <v>0</v>
      </c>
      <c r="AU89" s="326"/>
      <c r="AV89" s="326">
        <f t="shared" si="10"/>
        <v>0</v>
      </c>
      <c r="AW89" s="326">
        <f t="shared" si="13"/>
        <v>0</v>
      </c>
      <c r="AX89" s="288">
        <f t="shared" si="14"/>
        <v>0</v>
      </c>
      <c r="AY89" s="327">
        <f t="shared" si="8"/>
        <v>0</v>
      </c>
      <c r="AZ89" s="288">
        <f t="shared" si="11"/>
        <v>0</v>
      </c>
      <c r="BA89" s="288"/>
    </row>
    <row r="90" spans="45:53" s="246" customFormat="1" ht="15" x14ac:dyDescent="0.2">
      <c r="AS90" s="288" t="str">
        <f t="shared" si="9"/>
        <v/>
      </c>
      <c r="AT90" s="326">
        <f t="shared" si="12"/>
        <v>0</v>
      </c>
      <c r="AU90" s="326"/>
      <c r="AV90" s="326">
        <f t="shared" si="10"/>
        <v>0</v>
      </c>
      <c r="AW90" s="326">
        <f t="shared" si="13"/>
        <v>0</v>
      </c>
      <c r="AX90" s="288">
        <f t="shared" si="14"/>
        <v>0</v>
      </c>
      <c r="AY90" s="327">
        <f t="shared" si="8"/>
        <v>0</v>
      </c>
      <c r="AZ90" s="288">
        <f t="shared" si="11"/>
        <v>0</v>
      </c>
      <c r="BA90" s="288"/>
    </row>
    <row r="91" spans="45:53" s="246" customFormat="1" ht="15" x14ac:dyDescent="0.2">
      <c r="AS91" s="288" t="str">
        <f t="shared" si="9"/>
        <v/>
      </c>
      <c r="AT91" s="326">
        <f t="shared" si="12"/>
        <v>0</v>
      </c>
      <c r="AU91" s="326"/>
      <c r="AV91" s="326">
        <f t="shared" si="10"/>
        <v>0</v>
      </c>
      <c r="AW91" s="326">
        <f t="shared" si="13"/>
        <v>0</v>
      </c>
      <c r="AX91" s="288">
        <f t="shared" si="14"/>
        <v>0</v>
      </c>
      <c r="AY91" s="327">
        <f t="shared" si="8"/>
        <v>0</v>
      </c>
      <c r="AZ91" s="288">
        <f t="shared" si="11"/>
        <v>0</v>
      </c>
      <c r="BA91" s="288"/>
    </row>
    <row r="92" spans="45:53" s="246" customFormat="1" ht="15" x14ac:dyDescent="0.2">
      <c r="AS92" s="288" t="str">
        <f t="shared" si="9"/>
        <v/>
      </c>
      <c r="AT92" s="326">
        <f t="shared" si="12"/>
        <v>0</v>
      </c>
      <c r="AU92" s="326"/>
      <c r="AV92" s="326">
        <f t="shared" si="10"/>
        <v>0</v>
      </c>
      <c r="AW92" s="326">
        <f t="shared" si="13"/>
        <v>0</v>
      </c>
      <c r="AX92" s="288">
        <f t="shared" si="14"/>
        <v>0</v>
      </c>
      <c r="AY92" s="327">
        <f t="shared" si="8"/>
        <v>0</v>
      </c>
      <c r="AZ92" s="288">
        <f t="shared" si="11"/>
        <v>0</v>
      </c>
      <c r="BA92" s="288"/>
    </row>
    <row r="93" spans="45:53" s="246" customFormat="1" ht="15" x14ac:dyDescent="0.2">
      <c r="AS93" s="288" t="str">
        <f t="shared" si="9"/>
        <v/>
      </c>
      <c r="AT93" s="326">
        <f t="shared" si="12"/>
        <v>0</v>
      </c>
      <c r="AU93" s="326"/>
      <c r="AV93" s="326">
        <f t="shared" si="10"/>
        <v>0</v>
      </c>
      <c r="AW93" s="326">
        <f t="shared" si="13"/>
        <v>0</v>
      </c>
      <c r="AX93" s="288">
        <f t="shared" si="14"/>
        <v>0</v>
      </c>
      <c r="AY93" s="327">
        <f t="shared" si="8"/>
        <v>0</v>
      </c>
      <c r="AZ93" s="288">
        <f t="shared" si="11"/>
        <v>0</v>
      </c>
      <c r="BA93" s="288"/>
    </row>
    <row r="94" spans="45:53" s="246" customFormat="1" ht="15" x14ac:dyDescent="0.2">
      <c r="AS94" s="288" t="str">
        <f t="shared" si="9"/>
        <v/>
      </c>
      <c r="AT94" s="326">
        <f t="shared" si="12"/>
        <v>0</v>
      </c>
      <c r="AU94" s="326"/>
      <c r="AV94" s="326">
        <f t="shared" si="10"/>
        <v>0</v>
      </c>
      <c r="AW94" s="326">
        <f t="shared" si="13"/>
        <v>0</v>
      </c>
      <c r="AX94" s="288">
        <f t="shared" si="14"/>
        <v>0</v>
      </c>
      <c r="AY94" s="327">
        <f t="shared" si="8"/>
        <v>0</v>
      </c>
      <c r="AZ94" s="288">
        <f t="shared" si="11"/>
        <v>0</v>
      </c>
      <c r="BA94" s="288"/>
    </row>
    <row r="95" spans="45:53" s="246" customFormat="1" ht="15" x14ac:dyDescent="0.2">
      <c r="AS95" s="288" t="str">
        <f t="shared" si="9"/>
        <v/>
      </c>
      <c r="AT95" s="326">
        <f t="shared" si="12"/>
        <v>0</v>
      </c>
      <c r="AU95" s="326"/>
      <c r="AV95" s="326">
        <f t="shared" si="10"/>
        <v>0</v>
      </c>
      <c r="AW95" s="326">
        <f t="shared" si="13"/>
        <v>0</v>
      </c>
      <c r="AX95" s="288">
        <f t="shared" si="14"/>
        <v>0</v>
      </c>
      <c r="AY95" s="327">
        <f t="shared" si="8"/>
        <v>0</v>
      </c>
      <c r="AZ95" s="288">
        <f t="shared" si="11"/>
        <v>0</v>
      </c>
      <c r="BA95" s="288"/>
    </row>
    <row r="96" spans="45:53" s="246" customFormat="1" ht="15" x14ac:dyDescent="0.2">
      <c r="AS96" s="288" t="str">
        <f t="shared" si="9"/>
        <v/>
      </c>
      <c r="AT96" s="326">
        <f t="shared" si="12"/>
        <v>0</v>
      </c>
      <c r="AU96" s="326"/>
      <c r="AV96" s="326">
        <f t="shared" si="10"/>
        <v>0</v>
      </c>
      <c r="AW96" s="326">
        <f t="shared" si="13"/>
        <v>0</v>
      </c>
      <c r="AX96" s="288">
        <f t="shared" si="14"/>
        <v>0</v>
      </c>
      <c r="AY96" s="327">
        <f t="shared" si="8"/>
        <v>0</v>
      </c>
      <c r="AZ96" s="288">
        <f t="shared" si="11"/>
        <v>0</v>
      </c>
      <c r="BA96" s="288"/>
    </row>
    <row r="97" spans="45:53" s="246" customFormat="1" ht="15" x14ac:dyDescent="0.2">
      <c r="AS97" s="288" t="str">
        <f t="shared" si="9"/>
        <v/>
      </c>
      <c r="AT97" s="326">
        <f t="shared" si="12"/>
        <v>0</v>
      </c>
      <c r="AU97" s="326"/>
      <c r="AV97" s="326">
        <f t="shared" si="10"/>
        <v>0</v>
      </c>
      <c r="AW97" s="326">
        <f t="shared" si="13"/>
        <v>0</v>
      </c>
      <c r="AX97" s="288">
        <f t="shared" si="14"/>
        <v>0</v>
      </c>
      <c r="AY97" s="327">
        <f t="shared" si="8"/>
        <v>0</v>
      </c>
      <c r="AZ97" s="288">
        <f t="shared" si="11"/>
        <v>0</v>
      </c>
      <c r="BA97" s="288"/>
    </row>
    <row r="98" spans="45:53" s="246" customFormat="1" ht="15" x14ac:dyDescent="0.2">
      <c r="AS98" s="288" t="str">
        <f t="shared" si="9"/>
        <v/>
      </c>
      <c r="AT98" s="326">
        <f t="shared" si="12"/>
        <v>0</v>
      </c>
      <c r="AU98" s="326"/>
      <c r="AV98" s="326">
        <f t="shared" si="10"/>
        <v>0</v>
      </c>
      <c r="AW98" s="326">
        <f t="shared" si="13"/>
        <v>0</v>
      </c>
      <c r="AX98" s="288">
        <f t="shared" si="14"/>
        <v>0</v>
      </c>
      <c r="AY98" s="327">
        <f t="shared" si="8"/>
        <v>0</v>
      </c>
      <c r="AZ98" s="288">
        <f t="shared" si="11"/>
        <v>0</v>
      </c>
      <c r="BA98" s="288"/>
    </row>
    <row r="99" spans="45:53" s="246" customFormat="1" ht="15" x14ac:dyDescent="0.2">
      <c r="AS99" s="288" t="str">
        <f t="shared" si="9"/>
        <v/>
      </c>
      <c r="AT99" s="326">
        <f t="shared" si="12"/>
        <v>0</v>
      </c>
      <c r="AU99" s="326"/>
      <c r="AV99" s="326">
        <f t="shared" si="10"/>
        <v>0</v>
      </c>
      <c r="AW99" s="326">
        <f t="shared" si="13"/>
        <v>0</v>
      </c>
      <c r="AX99" s="288">
        <f t="shared" si="14"/>
        <v>0</v>
      </c>
      <c r="AY99" s="327">
        <f t="shared" si="8"/>
        <v>0</v>
      </c>
      <c r="AZ99" s="288">
        <f t="shared" si="11"/>
        <v>0</v>
      </c>
      <c r="BA99" s="288"/>
    </row>
    <row r="100" spans="45:53" s="246" customFormat="1" ht="15" x14ac:dyDescent="0.2">
      <c r="AS100" s="288" t="str">
        <f t="shared" si="9"/>
        <v/>
      </c>
      <c r="AT100" s="326">
        <f t="shared" si="12"/>
        <v>0</v>
      </c>
      <c r="AU100" s="326"/>
      <c r="AV100" s="326">
        <f t="shared" si="10"/>
        <v>0</v>
      </c>
      <c r="AW100" s="326">
        <f t="shared" si="13"/>
        <v>0</v>
      </c>
      <c r="AX100" s="288">
        <f t="shared" si="14"/>
        <v>0</v>
      </c>
      <c r="AY100" s="327">
        <f t="shared" si="8"/>
        <v>0</v>
      </c>
      <c r="AZ100" s="288">
        <f t="shared" si="11"/>
        <v>0</v>
      </c>
      <c r="BA100" s="288"/>
    </row>
    <row r="101" spans="45:53" s="246" customFormat="1" ht="15" x14ac:dyDescent="0.2">
      <c r="AS101" s="288" t="str">
        <f t="shared" si="9"/>
        <v/>
      </c>
      <c r="AT101" s="326">
        <f t="shared" si="12"/>
        <v>0</v>
      </c>
      <c r="AU101" s="326"/>
      <c r="AV101" s="326">
        <f t="shared" si="10"/>
        <v>0</v>
      </c>
      <c r="AW101" s="326">
        <f t="shared" si="13"/>
        <v>0</v>
      </c>
      <c r="AX101" s="288">
        <f t="shared" si="14"/>
        <v>0</v>
      </c>
      <c r="AY101" s="327">
        <f t="shared" si="8"/>
        <v>0</v>
      </c>
      <c r="AZ101" s="288">
        <f t="shared" si="11"/>
        <v>0</v>
      </c>
      <c r="BA101" s="288"/>
    </row>
    <row r="102" spans="45:53" s="246" customFormat="1" ht="15" x14ac:dyDescent="0.2">
      <c r="AS102" s="288" t="str">
        <f t="shared" si="9"/>
        <v/>
      </c>
      <c r="AT102" s="326">
        <f t="shared" si="12"/>
        <v>0</v>
      </c>
      <c r="AU102" s="326"/>
      <c r="AV102" s="326">
        <f t="shared" si="10"/>
        <v>0</v>
      </c>
      <c r="AW102" s="326">
        <f t="shared" si="13"/>
        <v>0</v>
      </c>
      <c r="AX102" s="288">
        <f t="shared" si="14"/>
        <v>0</v>
      </c>
      <c r="AY102" s="327">
        <f t="shared" si="8"/>
        <v>0</v>
      </c>
      <c r="AZ102" s="288">
        <f t="shared" si="11"/>
        <v>0</v>
      </c>
      <c r="BA102" s="288"/>
    </row>
    <row r="103" spans="45:53" s="246" customFormat="1" ht="15" x14ac:dyDescent="0.2">
      <c r="AS103" s="288" t="str">
        <f t="shared" si="9"/>
        <v/>
      </c>
      <c r="AT103" s="326">
        <f t="shared" si="12"/>
        <v>0</v>
      </c>
      <c r="AU103" s="326"/>
      <c r="AV103" s="326">
        <f t="shared" si="10"/>
        <v>0</v>
      </c>
      <c r="AW103" s="326">
        <f t="shared" si="13"/>
        <v>0</v>
      </c>
      <c r="AX103" s="288">
        <f t="shared" si="14"/>
        <v>0</v>
      </c>
      <c r="AY103" s="327">
        <f t="shared" ref="AY103:AY114" si="15">LN(AX103+$J$37)-LN($J$37)</f>
        <v>0</v>
      </c>
      <c r="AZ103" s="288">
        <f t="shared" si="11"/>
        <v>0</v>
      </c>
      <c r="BA103" s="288"/>
    </row>
    <row r="104" spans="45:53" s="246" customFormat="1" ht="15" x14ac:dyDescent="0.2">
      <c r="AS104" s="288" t="str">
        <f t="shared" si="9"/>
        <v/>
      </c>
      <c r="AT104" s="326">
        <f t="shared" si="12"/>
        <v>0</v>
      </c>
      <c r="AU104" s="326"/>
      <c r="AV104" s="326">
        <f t="shared" si="10"/>
        <v>0</v>
      </c>
      <c r="AW104" s="326">
        <f t="shared" si="13"/>
        <v>0</v>
      </c>
      <c r="AX104" s="288">
        <f t="shared" si="14"/>
        <v>0</v>
      </c>
      <c r="AY104" s="327">
        <f t="shared" si="15"/>
        <v>0</v>
      </c>
      <c r="AZ104" s="288">
        <f t="shared" si="11"/>
        <v>0</v>
      </c>
      <c r="BA104" s="288"/>
    </row>
    <row r="105" spans="45:53" s="246" customFormat="1" ht="15" x14ac:dyDescent="0.2">
      <c r="AS105" s="288" t="str">
        <f t="shared" si="9"/>
        <v/>
      </c>
      <c r="AT105" s="326">
        <f t="shared" si="12"/>
        <v>0</v>
      </c>
      <c r="AU105" s="326"/>
      <c r="AV105" s="326">
        <f t="shared" si="10"/>
        <v>0</v>
      </c>
      <c r="AW105" s="326">
        <f t="shared" si="13"/>
        <v>0</v>
      </c>
      <c r="AX105" s="288">
        <f t="shared" si="14"/>
        <v>0</v>
      </c>
      <c r="AY105" s="327">
        <f t="shared" si="15"/>
        <v>0</v>
      </c>
      <c r="AZ105" s="288">
        <f t="shared" si="11"/>
        <v>0</v>
      </c>
      <c r="BA105" s="288"/>
    </row>
    <row r="106" spans="45:53" s="246" customFormat="1" ht="15" x14ac:dyDescent="0.2">
      <c r="AS106" s="288" t="str">
        <f t="shared" si="9"/>
        <v/>
      </c>
      <c r="AT106" s="326">
        <f t="shared" si="12"/>
        <v>0</v>
      </c>
      <c r="AU106" s="326"/>
      <c r="AV106" s="326">
        <f t="shared" si="10"/>
        <v>0</v>
      </c>
      <c r="AW106" s="326">
        <f t="shared" si="13"/>
        <v>0</v>
      </c>
      <c r="AX106" s="288">
        <f t="shared" si="14"/>
        <v>0</v>
      </c>
      <c r="AY106" s="327">
        <f t="shared" si="15"/>
        <v>0</v>
      </c>
      <c r="AZ106" s="288">
        <f t="shared" si="11"/>
        <v>0</v>
      </c>
      <c r="BA106" s="288"/>
    </row>
    <row r="107" spans="45:53" s="246" customFormat="1" ht="15" x14ac:dyDescent="0.2">
      <c r="AS107" s="288" t="str">
        <f t="shared" si="9"/>
        <v/>
      </c>
      <c r="AT107" s="326">
        <f t="shared" si="12"/>
        <v>0</v>
      </c>
      <c r="AU107" s="326"/>
      <c r="AV107" s="326">
        <f t="shared" si="10"/>
        <v>0</v>
      </c>
      <c r="AW107" s="326">
        <f t="shared" si="13"/>
        <v>0</v>
      </c>
      <c r="AX107" s="288">
        <f t="shared" si="14"/>
        <v>0</v>
      </c>
      <c r="AY107" s="327">
        <f t="shared" si="15"/>
        <v>0</v>
      </c>
      <c r="AZ107" s="288">
        <f t="shared" si="11"/>
        <v>0</v>
      </c>
      <c r="BA107" s="288"/>
    </row>
    <row r="108" spans="45:53" s="246" customFormat="1" ht="15" x14ac:dyDescent="0.2">
      <c r="AS108" s="288" t="str">
        <f t="shared" si="9"/>
        <v/>
      </c>
      <c r="AT108" s="326">
        <f t="shared" si="12"/>
        <v>0</v>
      </c>
      <c r="AU108" s="326"/>
      <c r="AV108" s="326">
        <f t="shared" si="10"/>
        <v>0</v>
      </c>
      <c r="AW108" s="326">
        <f t="shared" si="13"/>
        <v>0</v>
      </c>
      <c r="AX108" s="288">
        <f t="shared" si="14"/>
        <v>0</v>
      </c>
      <c r="AY108" s="327">
        <f t="shared" si="15"/>
        <v>0</v>
      </c>
      <c r="AZ108" s="288">
        <f t="shared" si="11"/>
        <v>0</v>
      </c>
      <c r="BA108" s="288"/>
    </row>
    <row r="109" spans="45:53" s="246" customFormat="1" ht="15" x14ac:dyDescent="0.2">
      <c r="AS109" s="288" t="str">
        <f t="shared" si="9"/>
        <v/>
      </c>
      <c r="AT109" s="326">
        <f t="shared" si="12"/>
        <v>0</v>
      </c>
      <c r="AU109" s="326"/>
      <c r="AV109" s="326">
        <f t="shared" si="10"/>
        <v>0</v>
      </c>
      <c r="AW109" s="326">
        <f t="shared" si="13"/>
        <v>0</v>
      </c>
      <c r="AX109" s="288">
        <f t="shared" si="14"/>
        <v>0</v>
      </c>
      <c r="AY109" s="327">
        <f t="shared" si="15"/>
        <v>0</v>
      </c>
      <c r="AZ109" s="288">
        <f t="shared" si="11"/>
        <v>0</v>
      </c>
      <c r="BA109" s="288"/>
    </row>
    <row r="110" spans="45:53" s="246" customFormat="1" ht="15" x14ac:dyDescent="0.2">
      <c r="AS110" s="288" t="str">
        <f t="shared" si="9"/>
        <v/>
      </c>
      <c r="AT110" s="326">
        <f t="shared" si="12"/>
        <v>0</v>
      </c>
      <c r="AU110" s="326"/>
      <c r="AV110" s="326">
        <f t="shared" si="10"/>
        <v>0</v>
      </c>
      <c r="AW110" s="326">
        <f t="shared" si="13"/>
        <v>0</v>
      </c>
      <c r="AX110" s="288">
        <f t="shared" si="14"/>
        <v>0</v>
      </c>
      <c r="AY110" s="327">
        <f t="shared" si="15"/>
        <v>0</v>
      </c>
      <c r="AZ110" s="288">
        <f t="shared" si="11"/>
        <v>0</v>
      </c>
      <c r="BA110" s="288"/>
    </row>
    <row r="111" spans="45:53" s="246" customFormat="1" ht="15" x14ac:dyDescent="0.2">
      <c r="AS111" s="288" t="str">
        <f t="shared" si="9"/>
        <v/>
      </c>
      <c r="AT111" s="326">
        <f t="shared" si="12"/>
        <v>0</v>
      </c>
      <c r="AU111" s="326"/>
      <c r="AV111" s="326">
        <f t="shared" si="10"/>
        <v>0</v>
      </c>
      <c r="AW111" s="326">
        <f t="shared" si="13"/>
        <v>0</v>
      </c>
      <c r="AX111" s="288">
        <f t="shared" si="14"/>
        <v>0</v>
      </c>
      <c r="AY111" s="327">
        <f t="shared" si="15"/>
        <v>0</v>
      </c>
      <c r="AZ111" s="288">
        <f t="shared" si="11"/>
        <v>0</v>
      </c>
      <c r="BA111" s="288"/>
    </row>
    <row r="112" spans="45:53" s="246" customFormat="1" ht="15" x14ac:dyDescent="0.2">
      <c r="AS112" s="288" t="str">
        <f t="shared" si="9"/>
        <v/>
      </c>
      <c r="AT112" s="326">
        <f t="shared" si="12"/>
        <v>0</v>
      </c>
      <c r="AU112" s="326"/>
      <c r="AV112" s="326">
        <f t="shared" si="10"/>
        <v>0</v>
      </c>
      <c r="AW112" s="326">
        <f t="shared" si="13"/>
        <v>0</v>
      </c>
      <c r="AX112" s="288">
        <f t="shared" si="14"/>
        <v>0</v>
      </c>
      <c r="AY112" s="327">
        <f t="shared" si="15"/>
        <v>0</v>
      </c>
      <c r="AZ112" s="288">
        <f t="shared" si="11"/>
        <v>0</v>
      </c>
      <c r="BA112" s="288"/>
    </row>
    <row r="113" spans="45:53" s="246" customFormat="1" ht="15" x14ac:dyDescent="0.2">
      <c r="AS113" s="288" t="str">
        <f t="shared" si="9"/>
        <v/>
      </c>
      <c r="AT113" s="326">
        <f t="shared" si="12"/>
        <v>0</v>
      </c>
      <c r="AU113" s="326"/>
      <c r="AV113" s="326">
        <f t="shared" si="10"/>
        <v>0</v>
      </c>
      <c r="AW113" s="326">
        <f t="shared" si="13"/>
        <v>0</v>
      </c>
      <c r="AX113" s="288">
        <f t="shared" si="14"/>
        <v>0</v>
      </c>
      <c r="AY113" s="327">
        <f t="shared" si="15"/>
        <v>0</v>
      </c>
      <c r="AZ113" s="288">
        <f t="shared" si="11"/>
        <v>0</v>
      </c>
      <c r="BA113" s="288"/>
    </row>
    <row r="114" spans="45:53" s="246" customFormat="1" ht="15" x14ac:dyDescent="0.2">
      <c r="AS114" s="288" t="str">
        <f t="shared" si="9"/>
        <v/>
      </c>
      <c r="AT114" s="326">
        <f t="shared" si="12"/>
        <v>0</v>
      </c>
      <c r="AU114" s="326"/>
      <c r="AV114" s="326">
        <f t="shared" si="10"/>
        <v>0</v>
      </c>
      <c r="AW114" s="326">
        <f t="shared" si="13"/>
        <v>0</v>
      </c>
      <c r="AX114" s="288">
        <f t="shared" si="14"/>
        <v>0</v>
      </c>
      <c r="AY114" s="327">
        <f t="shared" si="15"/>
        <v>0</v>
      </c>
      <c r="AZ114" s="288">
        <f t="shared" si="11"/>
        <v>0</v>
      </c>
      <c r="BA114" s="288"/>
    </row>
    <row r="115" spans="45:53" s="246" customFormat="1" ht="15" x14ac:dyDescent="0.2">
      <c r="BA115" s="288"/>
    </row>
    <row r="116" spans="45:53" s="246" customFormat="1" ht="15" x14ac:dyDescent="0.2">
      <c r="BA116" s="288"/>
    </row>
    <row r="117" spans="45:53" s="246" customFormat="1" ht="15" x14ac:dyDescent="0.2">
      <c r="BA117" s="288"/>
    </row>
    <row r="118" spans="45:53" s="246" customFormat="1" ht="15" x14ac:dyDescent="0.2">
      <c r="BA118" s="288"/>
    </row>
    <row r="119" spans="45:53" ht="15" x14ac:dyDescent="0.2">
      <c r="BA119" s="232"/>
    </row>
  </sheetData>
  <mergeCells count="68">
    <mergeCell ref="J37:N37"/>
    <mergeCell ref="O37:P37"/>
    <mergeCell ref="D38:G38"/>
    <mergeCell ref="R38:T38"/>
    <mergeCell ref="B23:E26"/>
    <mergeCell ref="F31:F34"/>
    <mergeCell ref="R33:V33"/>
    <mergeCell ref="B36:B38"/>
    <mergeCell ref="D36:F36"/>
    <mergeCell ref="H36:I36"/>
    <mergeCell ref="J36:N36"/>
    <mergeCell ref="O36:P36"/>
    <mergeCell ref="D37:F37"/>
    <mergeCell ref="H37:I37"/>
    <mergeCell ref="L17:M17"/>
    <mergeCell ref="T17:U17"/>
    <mergeCell ref="T18:U18"/>
    <mergeCell ref="T19:U19"/>
    <mergeCell ref="F21:F24"/>
    <mergeCell ref="Q21:Q25"/>
    <mergeCell ref="R21:S22"/>
    <mergeCell ref="U21:W22"/>
    <mergeCell ref="Q13:Q14"/>
    <mergeCell ref="T13:U13"/>
    <mergeCell ref="V13:W13"/>
    <mergeCell ref="B14:B18"/>
    <mergeCell ref="C14:C15"/>
    <mergeCell ref="D14:D15"/>
    <mergeCell ref="F14:F15"/>
    <mergeCell ref="G14:G15"/>
    <mergeCell ref="T14:U14"/>
    <mergeCell ref="V14:W14"/>
    <mergeCell ref="T15:U15"/>
    <mergeCell ref="C16:C17"/>
    <mergeCell ref="D16:D17"/>
    <mergeCell ref="F16:F17"/>
    <mergeCell ref="G16:G17"/>
    <mergeCell ref="T16:U16"/>
    <mergeCell ref="V10:W10"/>
    <mergeCell ref="Z10:AA10"/>
    <mergeCell ref="T11:U11"/>
    <mergeCell ref="V11:W11"/>
    <mergeCell ref="T12:U12"/>
    <mergeCell ref="V12:W12"/>
    <mergeCell ref="AE6:AE7"/>
    <mergeCell ref="B7:B11"/>
    <mergeCell ref="Q8:Q11"/>
    <mergeCell ref="T8:U8"/>
    <mergeCell ref="V8:W8"/>
    <mergeCell ref="C9:D9"/>
    <mergeCell ref="T9:U9"/>
    <mergeCell ref="V9:W9"/>
    <mergeCell ref="Z9:AA9"/>
    <mergeCell ref="T10:U10"/>
    <mergeCell ref="C6:D6"/>
    <mergeCell ref="I6:J6"/>
    <mergeCell ref="L6:M6"/>
    <mergeCell ref="T6:U6"/>
    <mergeCell ref="V6:W6"/>
    <mergeCell ref="AD6:AD7"/>
    <mergeCell ref="S2:T3"/>
    <mergeCell ref="Z2:AB3"/>
    <mergeCell ref="B4:D5"/>
    <mergeCell ref="F4:G5"/>
    <mergeCell ref="T4:U4"/>
    <mergeCell ref="V4:W4"/>
    <mergeCell ref="T5:U5"/>
    <mergeCell ref="V5:W5"/>
  </mergeCells>
  <phoneticPr fontId="49" type="noConversion"/>
  <dataValidations count="3">
    <dataValidation type="list" allowBlank="1" showInputMessage="1" sqref="K9">
      <formula1>$C$30:$G$30</formula1>
    </dataValidation>
    <dataValidation type="list" allowBlank="1" showInputMessage="1" sqref="K14">
      <formula1>$C$21:$G$21</formula1>
    </dataValidation>
    <dataValidation type="list" allowBlank="1" showInputMessage="1" sqref="K15">
      <formula1>$C$28:$G$28</formula1>
    </dataValidation>
  </dataValidations>
  <hyperlinks>
    <hyperlink ref="H38" r:id="rId1" location="Grantstructure"/>
  </hyperlinks>
  <pageMargins left="0.7" right="0.7" top="0.75" bottom="0.75" header="0.3" footer="0.3"/>
  <legacyDrawing r:id="rId2"/>
  <extLst>
    <ext xmlns:x14="http://schemas.microsoft.com/office/spreadsheetml/2009/9/main" uri="{CCE6A557-97BC-4b89-ADB6-D9C93CAAB3DF}">
      <x14:dataValidations xmlns:xm="http://schemas.microsoft.com/office/excel/2006/main" count="36">
        <x14:dataValidation type="list" allowBlank="1" showInputMessage="1">
          <x14:formula1>
            <xm:f>Parameters!$D$5:$H$5</xm:f>
          </x14:formula1>
          <xm:sqref>G7</xm:sqref>
        </x14:dataValidation>
        <x14:dataValidation type="list" allowBlank="1" showInputMessage="1">
          <x14:formula1>
            <xm:f>Parameters!$D$9:$H$9</xm:f>
          </x14:formula1>
          <xm:sqref>G10</xm:sqref>
        </x14:dataValidation>
        <x14:dataValidation type="list" allowBlank="1" showInputMessage="1">
          <x14:formula1>
            <xm:f>Parameters!$D$8:$H$8</xm:f>
          </x14:formula1>
          <xm:sqref>G8</xm:sqref>
        </x14:dataValidation>
        <x14:dataValidation type="list" allowBlank="1" showInputMessage="1">
          <x14:formula1>
            <xm:f>Parameters!$D$32:$H$32</xm:f>
          </x14:formula1>
          <xm:sqref>G18</xm:sqref>
        </x14:dataValidation>
        <x14:dataValidation type="list" allowBlank="1" showInputMessage="1">
          <x14:formula1>
            <xm:f>Parameters!$D$7:$H$7</xm:f>
          </x14:formula1>
          <xm:sqref>G9</xm:sqref>
        </x14:dataValidation>
        <x14:dataValidation type="list" allowBlank="1" showInputMessage="1">
          <x14:formula1>
            <xm:f>Parameters!$D$4:$H$4</xm:f>
          </x14:formula1>
          <xm:sqref>D7</xm:sqref>
        </x14:dataValidation>
        <x14:dataValidation type="list" allowBlank="1" showInputMessage="1">
          <x14:formula1>
            <xm:f>Parameters!$D$14:$H$14</xm:f>
          </x14:formula1>
          <xm:sqref>J17:K17</xm:sqref>
        </x14:dataValidation>
        <x14:dataValidation type="list" allowBlank="1" showInputMessage="1">
          <x14:formula1>
            <xm:f>Parameters!$D$17:$H$17</xm:f>
          </x14:formula1>
          <xm:sqref>J18:K18</xm:sqref>
        </x14:dataValidation>
        <x14:dataValidation type="list" allowBlank="1" showInputMessage="1">
          <x14:formula1>
            <xm:f>Parameters!$D$21:$H$21</xm:f>
          </x14:formula1>
          <xm:sqref>J16:K16</xm:sqref>
        </x14:dataValidation>
        <x14:dataValidation type="list" allowBlank="1" showInputMessage="1">
          <x14:formula1>
            <xm:f>Parameters!$D$18:$H$18</xm:f>
          </x14:formula1>
          <xm:sqref>J10</xm:sqref>
        </x14:dataValidation>
        <x14:dataValidation type="list" allowBlank="1" showInputMessage="1">
          <x14:formula1>
            <xm:f>Parameters!$E$23:$G$23</xm:f>
          </x14:formula1>
          <xm:sqref>K7</xm:sqref>
        </x14:dataValidation>
        <x14:dataValidation type="list" allowBlank="1" showInputMessage="1">
          <x14:formula1>
            <xm:f>Parameters!$D$23:$H$23</xm:f>
          </x14:formula1>
          <xm:sqref>J7</xm:sqref>
        </x14:dataValidation>
        <x14:dataValidation type="list" allowBlank="1" showInputMessage="1">
          <x14:formula1>
            <xm:f>Parameters!$E$16:$I$16</xm:f>
          </x14:formula1>
          <xm:sqref>K10</xm:sqref>
        </x14:dataValidation>
        <x14:dataValidation type="list" allowBlank="1" showInputMessage="1">
          <x14:formula1>
            <xm:f>Parameters!$D$16:$H$16</xm:f>
          </x14:formula1>
          <xm:sqref>J8</xm:sqref>
        </x14:dataValidation>
        <x14:dataValidation type="list" allowBlank="1" showInputMessage="1">
          <x14:formula1>
            <xm:f>Parameters!$D$36:$H$36</xm:f>
          </x14:formula1>
          <xm:sqref>M7</xm:sqref>
        </x14:dataValidation>
        <x14:dataValidation type="list" allowBlank="1" showInputMessage="1">
          <x14:formula1>
            <xm:f>Parameters!$D$37:$H$37</xm:f>
          </x14:formula1>
          <xm:sqref>M8</xm:sqref>
        </x14:dataValidation>
        <x14:dataValidation type="list" allowBlank="1" showInputMessage="1">
          <x14:formula1>
            <xm:f>Parameters!$D$38:$H$38</xm:f>
          </x14:formula1>
          <xm:sqref>M9</xm:sqref>
        </x14:dataValidation>
        <x14:dataValidation type="list" allowBlank="1" showInputMessage="1">
          <x14:formula1>
            <xm:f>Parameters!$D$39:$H$39</xm:f>
          </x14:formula1>
          <xm:sqref>M10</xm:sqref>
        </x14:dataValidation>
        <x14:dataValidation type="list" allowBlank="1" showInputMessage="1">
          <x14:formula1>
            <xm:f>Parameters!$D$40:$H$40</xm:f>
          </x14:formula1>
          <xm:sqref>M11</xm:sqref>
        </x14:dataValidation>
        <x14:dataValidation type="list" allowBlank="1" showInputMessage="1">
          <x14:formula1>
            <xm:f>Parameters!$D$41:$H$41</xm:f>
          </x14:formula1>
          <xm:sqref>M12</xm:sqref>
        </x14:dataValidation>
        <x14:dataValidation type="list" allowBlank="1" showInputMessage="1">
          <x14:formula1>
            <xm:f>Parameters!$D$42:$H$42</xm:f>
          </x14:formula1>
          <xm:sqref>M13</xm:sqref>
        </x14:dataValidation>
        <x14:dataValidation type="list" allowBlank="1" showInputMessage="1">
          <x14:formula1>
            <xm:f>Parameters!$D$43:$H$43</xm:f>
          </x14:formula1>
          <xm:sqref>M14</xm:sqref>
        </x14:dataValidation>
        <x14:dataValidation type="list" allowBlank="1" showInputMessage="1">
          <x14:formula1>
            <xm:f>Parameters!$D$44:$H$44</xm:f>
          </x14:formula1>
          <xm:sqref>M15</xm:sqref>
        </x14:dataValidation>
        <x14:dataValidation type="list" allowBlank="1" showInputMessage="1">
          <x14:formula1>
            <xm:f>Parameters!$D$25:$H$25</xm:f>
          </x14:formula1>
          <xm:sqref>J9</xm:sqref>
        </x14:dataValidation>
        <x14:dataValidation type="list" allowBlank="1" showInputMessage="1">
          <x14:formula1>
            <xm:f>Parameters!$D$24:$H$24</xm:f>
          </x14:formula1>
          <xm:sqref>J11</xm:sqref>
        </x14:dataValidation>
        <x14:dataValidation type="list" allowBlank="1" showInputMessage="1">
          <x14:formula1>
            <xm:f>Parameters!$D$15:$H$15</xm:f>
          </x14:formula1>
          <xm:sqref>J15</xm:sqref>
        </x14:dataValidation>
        <x14:dataValidation type="list" allowBlank="1" showInputMessage="1">
          <x14:formula1>
            <xm:f>Parameters!$D$22:$H$22</xm:f>
          </x14:formula1>
          <xm:sqref>J14</xm:sqref>
        </x14:dataValidation>
        <x14:dataValidation type="list" allowBlank="1" showInputMessage="1">
          <x14:formula1>
            <xm:f>Parameters!$D$28:$H$28</xm:f>
          </x14:formula1>
          <xm:sqref>G16</xm:sqref>
        </x14:dataValidation>
        <x14:dataValidation type="list" allowBlank="1" showInputMessage="1">
          <x14:formula1>
            <xm:f>Parameters!$D$10:$H$10</xm:f>
          </x14:formula1>
          <xm:sqref>G14</xm:sqref>
        </x14:dataValidation>
        <x14:dataValidation type="list" allowBlank="1" showInputMessage="1">
          <x14:formula1>
            <xm:f>Parameters!$D$56:$H$56</xm:f>
          </x14:formula1>
          <xm:sqref>D14</xm:sqref>
        </x14:dataValidation>
        <x14:dataValidation type="list" allowBlank="1" showInputMessage="1">
          <x14:formula1>
            <xm:f>Parameters!$D$55:$H$55</xm:f>
          </x14:formula1>
          <xm:sqref>D11</xm:sqref>
        </x14:dataValidation>
        <x14:dataValidation type="list" allowBlank="1" showInputMessage="1">
          <x14:formula1>
            <xm:f>Parameters!$D$54:$H$54</xm:f>
          </x14:formula1>
          <xm:sqref>D10</xm:sqref>
        </x14:dataValidation>
        <x14:dataValidation type="list" allowBlank="1" showInputMessage="1">
          <x14:formula1>
            <xm:f>Parameters!$D$57:$H$57</xm:f>
          </x14:formula1>
          <xm:sqref>D16:D17</xm:sqref>
        </x14:dataValidation>
        <x14:dataValidation type="list" allowBlank="1" showInputMessage="1">
          <x14:formula1>
            <xm:f>Parameters!$D$33:$H$33</xm:f>
          </x14:formula1>
          <xm:sqref>G11</xm:sqref>
        </x14:dataValidation>
        <x14:dataValidation type="list" allowBlank="1" showInputMessage="1">
          <x14:formula1>
            <xm:f>Parameters!$D$6:$H$6</xm:f>
          </x14:formula1>
          <xm:sqref>G13</xm:sqref>
        </x14:dataValidation>
        <x14:dataValidation type="list" allowBlank="1" showInputMessage="1">
          <x14:formula1>
            <xm:f>Parameters!$D$51:$H$51</xm:f>
          </x14:formula1>
          <xm:sqref>M18</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21</vt:i4>
      </vt:variant>
    </vt:vector>
  </HeadingPairs>
  <TitlesOfParts>
    <vt:vector size="21" baseType="lpstr">
      <vt:lpstr>Notes</vt:lpstr>
      <vt:lpstr>Summary</vt:lpstr>
      <vt:lpstr>Parameters</vt:lpstr>
      <vt:lpstr>Sources</vt:lpstr>
      <vt:lpstr>Bednets</vt:lpstr>
      <vt:lpstr>GW medians</vt:lpstr>
      <vt:lpstr>Holden</vt:lpstr>
      <vt:lpstr>Elie</vt:lpstr>
      <vt:lpstr>Alexander</vt:lpstr>
      <vt:lpstr>Natalie</vt:lpstr>
      <vt:lpstr>Tim</vt:lpstr>
      <vt:lpstr>Sean</vt:lpstr>
      <vt:lpstr>Milan</vt:lpstr>
      <vt:lpstr>Rebecca</vt:lpstr>
      <vt:lpstr>Tyler</vt:lpstr>
      <vt:lpstr>Emma</vt:lpstr>
      <vt:lpstr>Andrew</vt:lpstr>
      <vt:lpstr>Leon</vt:lpstr>
      <vt:lpstr>Bednets-IR</vt:lpstr>
      <vt:lpstr>Model</vt:lpstr>
      <vt:lpstr>2014 model</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2013-11-14T21:39:31Z</dcterms:created>
  <dcterms:modified xsi:type="dcterms:W3CDTF">2019-10-02T10:21:09Z</dcterms:modified>
</cp:coreProperties>
</file>