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הוצאות" sheetId="1" r:id="rId4"/>
    <sheet name="תכנון" sheetId="2" r:id="rId5"/>
    <sheet name="פאנל מול איטונג" sheetId="3" r:id="rId6"/>
    <sheet name="חישוב מטראז בלוקים" sheetId="4" r:id="rId7"/>
    <sheet name="ברזל קומה שניה" sheetId="5" r:id="rId8"/>
    <sheet name="תקרה פאנל מול יציקה" sheetId="6" r:id="rId9"/>
    <sheet name="Sheet 1" sheetId="7" r:id="rId10"/>
  </sheets>
</workbook>
</file>

<file path=xl/sharedStrings.xml><?xml version="1.0" encoding="utf-8"?>
<sst xmlns="http://schemas.openxmlformats.org/spreadsheetml/2006/main" uniqueCount="379">
  <si>
    <t>תשלומים על הבית</t>
  </si>
  <si>
    <t>תאריך</t>
  </si>
  <si>
    <t>מקבל</t>
  </si>
  <si>
    <t>סכום</t>
  </si>
  <si>
    <t>עבור</t>
  </si>
  <si>
    <t>טלפון</t>
  </si>
  <si>
    <t>שיטת תשלום</t>
  </si>
  <si>
    <t>רוזנהיים</t>
  </si>
  <si>
    <t>ישור השטח</t>
  </si>
  <si>
    <t>דרך הישוב</t>
  </si>
  <si>
    <t>מהנדס מונטי פוגודה</t>
  </si>
  <si>
    <t>תוכנית הנדסית ליסודות, תקרה ורצפת בטון + ממד</t>
  </si>
  <si>
    <t>3000 העברה ו2000 מזומן</t>
  </si>
  <si>
    <t>ebay</t>
  </si>
  <si>
    <t>מפריד שתן לאסלה, 3 יחידות</t>
  </si>
  <si>
    <t>payPal</t>
  </si>
  <si>
    <t>יפעת</t>
  </si>
  <si>
    <t>יעוץ אדריכלי</t>
  </si>
  <si>
    <t>מולה</t>
  </si>
  <si>
    <t>מטבח</t>
  </si>
  <si>
    <t>מזומן</t>
  </si>
  <si>
    <t>ויינגולד נגררים</t>
  </si>
  <si>
    <t>תיקון גלגל רגלית לעגלה של אלעד</t>
  </si>
  <si>
    <t>ראאד</t>
  </si>
  <si>
    <t>אוזניות ומקדחי כוס</t>
  </si>
  <si>
    <t>צ'ק של 933</t>
  </si>
  <si>
    <t>בקוש</t>
  </si>
  <si>
    <t>יעוץ - יוני</t>
  </si>
  <si>
    <t>עמיחי</t>
  </si>
  <si>
    <t xml:space="preserve">חפירת ביוב, חפירת צינורות תשתיות, כיסוי, הגבהת הכביש, הידוק, הנחת ביוב, הנחת מנול, כיסוי המנול </t>
  </si>
  <si>
    <t>אלעד גלבוע</t>
  </si>
  <si>
    <t>כובעים לרגלי יציקה</t>
  </si>
  <si>
    <t>אנדרסן</t>
  </si>
  <si>
    <t>מקדמה על חלונות</t>
  </si>
  <si>
    <t>העברה בנקאית</t>
  </si>
  <si>
    <t>שונות, אינסטלציה, כבל מאריך</t>
  </si>
  <si>
    <t>צ'ק 1700</t>
  </si>
  <si>
    <t>יעוץ - יולי</t>
  </si>
  <si>
    <t>צלח</t>
  </si>
  <si>
    <t>משלוח - דיסק גדול</t>
  </si>
  <si>
    <t>אשראי</t>
  </si>
  <si>
    <t>סולם - משלוח</t>
  </si>
  <si>
    <t>סה"כ שונות</t>
  </si>
  <si>
    <t>טרקטור - ניקוי השטח</t>
  </si>
  <si>
    <t>פקר ברזל</t>
  </si>
  <si>
    <t>ברזל :)</t>
  </si>
  <si>
    <t>פסגות מינוף</t>
  </si>
  <si>
    <t>הובלה של הברזל</t>
  </si>
  <si>
    <t>צ׳ק מזומן</t>
  </si>
  <si>
    <t>עוד ברזל מספק ערבי</t>
  </si>
  <si>
    <t>מוהנד בטון בית פאג'ר</t>
  </si>
  <si>
    <t>בטון עבור יסודות</t>
  </si>
  <si>
    <t>פארס 0522393222</t>
  </si>
  <si>
    <t>משאבת בטון ליסודות</t>
  </si>
  <si>
    <t>פרץ</t>
  </si>
  <si>
    <t>טרקטור - חפירת יסודות ובור קומפוסט</t>
  </si>
  <si>
    <t>עבודה - יסודות</t>
  </si>
  <si>
    <t>סה"כ יסודות</t>
  </si>
  <si>
    <t>תוספות ברזל ובלוקים</t>
  </si>
  <si>
    <t>אינסטלציה לשתול בתוך היציקה ולעבור את הכביש</t>
  </si>
  <si>
    <t>צ'ק</t>
  </si>
  <si>
    <t>משאיות עפר למילוי הרצפה</t>
  </si>
  <si>
    <t>בובקט</t>
  </si>
  <si>
    <t>קלקר לבידוד הקורות</t>
  </si>
  <si>
    <t xml:space="preserve">מעוז לבנין </t>
  </si>
  <si>
    <t>חומרים שונים לשלד, כולל סט ממ"ד</t>
  </si>
  <si>
    <t>לוודא שהכסף הגיע!!</t>
  </si>
  <si>
    <t>יגאל</t>
  </si>
  <si>
    <t>הארקת יסוד</t>
  </si>
  <si>
    <t>שפיר</t>
  </si>
  <si>
    <t>בטון לרצפה</t>
  </si>
  <si>
    <t>צק</t>
  </si>
  <si>
    <t>עודד</t>
  </si>
  <si>
    <t>משאבת בטון לרצפה</t>
  </si>
  <si>
    <t>עבודה - רצפה</t>
  </si>
  <si>
    <t>סה"כ רצפה</t>
  </si>
  <si>
    <t>ברזלים</t>
  </si>
  <si>
    <t>תשלום על עבודה - יציקת עמודים וממד</t>
  </si>
  <si>
    <t>אמין</t>
  </si>
  <si>
    <t>ברזל לתקרה ולקומה שניה</t>
  </si>
  <si>
    <t>מנצורה</t>
  </si>
  <si>
    <t>מסקינגטייפ</t>
  </si>
  <si>
    <t>משאבת בטון לתקרה</t>
  </si>
  <si>
    <t>עבודה - יציקת תקרה</t>
  </si>
  <si>
    <t>בטון לתקרה</t>
  </si>
  <si>
    <t>רגלי יציקה</t>
  </si>
  <si>
    <t>צ'ק של 1700</t>
  </si>
  <si>
    <t>ליאור לוי ארץ האיילים</t>
  </si>
  <si>
    <t>מעוז לבניין</t>
  </si>
  <si>
    <t>מסמרים וחוט שזור</t>
  </si>
  <si>
    <t>כ. אשראי</t>
  </si>
  <si>
    <t>תקרה + סה"כ עמודים + ממד</t>
  </si>
  <si>
    <t>סה"כ אלעד</t>
  </si>
  <si>
    <t>60 בתי שקע, 200 מ צינור, 100 מ' 3 צבעים 1.5, כנל 2.5</t>
  </si>
  <si>
    <t>אבי החשמלאי</t>
  </si>
  <si>
    <t>חומר + עבודה חשמל ממ”ד</t>
  </si>
  <si>
    <t>חוט חשמל 1.5 שלושה צבעים</t>
  </si>
  <si>
    <t>סה"כ חשמל</t>
  </si>
  <si>
    <t>טרמודן</t>
  </si>
  <si>
    <t>בלוק פומיס 26 משטחים</t>
  </si>
  <si>
    <t>חומר לטיט קומה שניה, פרופילים ודאבלטי</t>
  </si>
  <si>
    <t xml:space="preserve">נהג של ראאד </t>
  </si>
  <si>
    <t>הובלות חומר לטיט ולטפסנות</t>
  </si>
  <si>
    <t>חול מחצבה, מלט, לוחות טפסנות, צינור לחשמל, שומשום, בלוק שחור</t>
  </si>
  <si>
    <t>צ'ק של 5000</t>
  </si>
  <si>
    <t>בנייה של בלוקים וחצי טפסנות - קומה עליונה</t>
  </si>
  <si>
    <t>בלוקים</t>
  </si>
  <si>
    <t>סה"כ</t>
  </si>
  <si>
    <t>תכנון</t>
  </si>
  <si>
    <t>זמן</t>
  </si>
  <si>
    <t>מחיר</t>
  </si>
  <si>
    <t>שלב</t>
  </si>
  <si>
    <t>חומר</t>
  </si>
  <si>
    <t>עבודה</t>
  </si>
  <si>
    <t>תשתיות:</t>
  </si>
  <si>
    <t>יציקת עמודים</t>
  </si>
  <si>
    <t>תורגמן</t>
  </si>
  <si>
    <t>שונות</t>
  </si>
  <si>
    <t>חיבור מסילות פאנל לבטון</t>
  </si>
  <si>
    <t>שלד</t>
  </si>
  <si>
    <t>יציקת תקרה</t>
  </si>
  <si>
    <t>קו מים לפילר</t>
  </si>
  <si>
    <t>בלוקים ועמודים</t>
  </si>
  <si>
    <t>קונסטרוקציה ברזל - צבע - שתי שכבות ואחרי הריתוך על החיבורים</t>
  </si>
  <si>
    <t>פילר מים</t>
  </si>
  <si>
    <t>גלנץ</t>
  </si>
  <si>
    <t>קונסטרוקציה ברזל - ריתוך</t>
  </si>
  <si>
    <t>פילר חשמל</t>
  </si>
  <si>
    <t>פריימר</t>
  </si>
  <si>
    <t>פאנל קיר</t>
  </si>
  <si>
    <t>פתיחת פתחים לחלונות ודלתות</t>
  </si>
  <si>
    <t>ברזל לפאנל</t>
  </si>
  <si>
    <t>התקנת דלת כניסה</t>
  </si>
  <si>
    <t>פאנל</t>
  </si>
  <si>
    <t>התקנת חלון</t>
  </si>
  <si>
    <t>ריצוף</t>
  </si>
  <si>
    <t>בלוקים ורולקה מסביב למרפסת + קופינג</t>
  </si>
  <si>
    <t>נוטפדר</t>
  </si>
  <si>
    <t>איטום מרפסת</t>
  </si>
  <si>
    <t>במקביל</t>
  </si>
  <si>
    <t>גבס</t>
  </si>
  <si>
    <t>בידוד מרפסת - רנדופן 3</t>
  </si>
  <si>
    <t>אינסטלציה</t>
  </si>
  <si>
    <t>פאנל גג - הנחה</t>
  </si>
  <si>
    <t>גז</t>
  </si>
  <si>
    <t>סימון קירות פנים</t>
  </si>
  <si>
    <t>חשמל</t>
  </si>
  <si>
    <t>ביוב תחתונה</t>
  </si>
  <si>
    <t>חלונות</t>
  </si>
  <si>
    <t>חנוכיה</t>
  </si>
  <si>
    <t>דלתות</t>
  </si>
  <si>
    <t>מים תחתונה</t>
  </si>
  <si>
    <t>מזגן</t>
  </si>
  <si>
    <t>חשמל צנרת</t>
  </si>
  <si>
    <t>איטום וניקוז חדרים רטובים</t>
  </si>
  <si>
    <t>אמבטיה (ראאד)</t>
  </si>
  <si>
    <t>אסלות תלויות בלמעלה (קרמיק דיפו/מבצעים)</t>
  </si>
  <si>
    <t>מילוי שומשום</t>
  </si>
  <si>
    <t>ריצוף לא כולל התקנת פאנלים + התקנת דלתות</t>
  </si>
  <si>
    <t>רצף + מגיש</t>
  </si>
  <si>
    <t>קונסטרוקציה לקירות גבס</t>
  </si>
  <si>
    <t>נוטפדר תקרה</t>
  </si>
  <si>
    <t>חשמל בקירות גבס + ארון</t>
  </si>
  <si>
    <t>מים בקירות גבס</t>
  </si>
  <si>
    <t>מזגן בקירות גבס</t>
  </si>
  <si>
    <t>גז בקירות גבס</t>
  </si>
  <si>
    <t>בידוד בקירות</t>
  </si>
  <si>
    <t>סגירת גבס</t>
  </si>
  <si>
    <t>התקנת קופסאות חשמל</t>
  </si>
  <si>
    <t>אדני חלונות</t>
  </si>
  <si>
    <t>שפכטל</t>
  </si>
  <si>
    <t>צבע</t>
  </si>
  <si>
    <t>התקנת פאנלים</t>
  </si>
  <si>
    <t>קאנט לנוטפדר</t>
  </si>
  <si>
    <t>קרמיקה חדרים רטובים</t>
  </si>
  <si>
    <t>גימורי חשמל - שקעים וסגירה</t>
  </si>
  <si>
    <t>התקנות - אסלות, כיורים, ברזים (ברזים רק איכותיים), דוד שמש, יונקרס, מזגן</t>
  </si>
  <si>
    <t>דלתות פנים</t>
  </si>
  <si>
    <t>קרמיקה מטבח</t>
  </si>
  <si>
    <t>ריהוט</t>
  </si>
  <si>
    <t>פינישים גג פאנל</t>
  </si>
  <si>
    <t>שליכט על התזת פוליאורטן על בלוק שחור</t>
  </si>
  <si>
    <t>טיח אדקס מגוון על התזת פוליאורטן על בלוק שחור</t>
  </si>
  <si>
    <t>פריימר על אקווה פאנל על פוליאוריטן מותז על בלוק שחור</t>
  </si>
  <si>
    <t>שליכט על אואסבי על פוליאוריטן מותז על בלוק שחור</t>
  </si>
  <si>
    <t>חצי לוג על פוליאוריטן מותז על בלוק שחור</t>
  </si>
  <si>
    <t>בלוק איטונג</t>
  </si>
  <si>
    <t>בלוק רגיל</t>
  </si>
  <si>
    <t>שליכט על קלקר על בלוק שחור</t>
  </si>
  <si>
    <t>מחיר למטר</t>
  </si>
  <si>
    <t>מחיר לבית</t>
  </si>
  <si>
    <t>למ"ר</t>
  </si>
  <si>
    <t>מחיר למ"ר</t>
  </si>
  <si>
    <t>חומר בלוק</t>
  </si>
  <si>
    <t>מחיר מ"ר בלוק</t>
  </si>
  <si>
    <t>בלוק</t>
  </si>
  <si>
    <t>אביזרים לפאנל</t>
  </si>
  <si>
    <t>דבקים</t>
  </si>
  <si>
    <t>קוב</t>
  </si>
  <si>
    <t>טיט</t>
  </si>
  <si>
    <t>קונסטרוקצית ברזל - חומר</t>
  </si>
  <si>
    <t>מספר עמודים</t>
  </si>
  <si>
    <t>עמודים בטון</t>
  </si>
  <si>
    <t>4 מ"ר בלוק 25 בקוב</t>
  </si>
  <si>
    <t>בלוק - עבודה</t>
  </si>
  <si>
    <t>קלקר - עבודה</t>
  </si>
  <si>
    <t>התזת פוליאורטן</t>
  </si>
  <si>
    <t>1100 ליום * 3 ימים</t>
  </si>
  <si>
    <t>קונסטרוקצית ברזל - עבודה רתך</t>
  </si>
  <si>
    <t>קורת בטון</t>
  </si>
  <si>
    <t>בניית פיגום - חומר</t>
  </si>
  <si>
    <t>קונסטרוקצית ברזל - עבודה מגיש</t>
  </si>
  <si>
    <t>קונסטרוקציה לגג</t>
  </si>
  <si>
    <t>בניית פיגום - עבודה</t>
  </si>
  <si>
    <t>400 * 4 ימים</t>
  </si>
  <si>
    <t>הרכבת פאנל</t>
  </si>
  <si>
    <t>טיח</t>
  </si>
  <si>
    <t>קלקר</t>
  </si>
  <si>
    <t>מסילות ללוחות</t>
  </si>
  <si>
    <t>ניצבים</t>
  </si>
  <si>
    <t>חומר לפאנל (סיקה, ברגים ...)</t>
  </si>
  <si>
    <t>4 ימי חציבות</t>
  </si>
  <si>
    <t>דבק</t>
  </si>
  <si>
    <t>לוחות אקווהפאנל</t>
  </si>
  <si>
    <t>לוחות osb</t>
  </si>
  <si>
    <t>חצי לוג</t>
  </si>
  <si>
    <t>מטראז לוח</t>
  </si>
  <si>
    <t>עמודים לOSB</t>
  </si>
  <si>
    <t>11 מ' מסילה למטר קיר</t>
  </si>
  <si>
    <t>קונסטרוקצית גבס</t>
  </si>
  <si>
    <t>דיבלים</t>
  </si>
  <si>
    <t>גירוד פוליאוריטן</t>
  </si>
  <si>
    <t>רשת לחיבורים</t>
  </si>
  <si>
    <t>לפי מאה מטר חיבורים</t>
  </si>
  <si>
    <t>עבודה - בניית עץ</t>
  </si>
  <si>
    <t>180 שח ל24 מ"ר</t>
  </si>
  <si>
    <t>צמר סלעים</t>
  </si>
  <si>
    <t>רשת</t>
  </si>
  <si>
    <t>שכבת טיח אדקס</t>
  </si>
  <si>
    <t>טיח לחיבורים</t>
  </si>
  <si>
    <t>שחל גרין</t>
  </si>
  <si>
    <t>צבע עץ</t>
  </si>
  <si>
    <t>מ”ר = 3 לוחות</t>
  </si>
  <si>
    <t>שליכט</t>
  </si>
  <si>
    <t>כפולה של 70</t>
  </si>
  <si>
    <t>עבודה - צבע</t>
  </si>
  <si>
    <t>עבודה - לוחות אקווהפאנל</t>
  </si>
  <si>
    <t>עבודה - לוחות</t>
  </si>
  <si>
    <t>עבודה - פריימר</t>
  </si>
  <si>
    <t>פרופילים U</t>
  </si>
  <si>
    <t>פינות</t>
  </si>
  <si>
    <t>טיח -  עבודה</t>
  </si>
  <si>
    <t>עבודה - שליכט</t>
  </si>
  <si>
    <t>אדקס 415 שחל</t>
  </si>
  <si>
    <t>מספר הקרשים בקובת 3 מ’ אורך</t>
  </si>
  <si>
    <t>ליטר נפח</t>
  </si>
  <si>
    <t>למ"ר בעובי 5 מ"מ</t>
  </si>
  <si>
    <t>למ”ר בעובי 1 ס”מ</t>
  </si>
  <si>
    <t>לבית</t>
  </si>
  <si>
    <t>מחיר קרש בניין 5*10</t>
  </si>
  <si>
    <t>אדקס</t>
  </si>
  <si>
    <t>מלט</t>
  </si>
  <si>
    <t>חול</t>
  </si>
  <si>
    <t>מגוון</t>
  </si>
  <si>
    <t>שליכט על טיח ע איטונג</t>
  </si>
  <si>
    <t>שליכט על גלנצ על איטונג</t>
  </si>
  <si>
    <t>פריימר מגוון על גלנצ על איטונג</t>
  </si>
  <si>
    <t>פריימר מגוון על גלנצ על פומיס</t>
  </si>
  <si>
    <t>טיט / דבק</t>
  </si>
  <si>
    <t>קלקר עמודים</t>
  </si>
  <si>
    <t>דבק לקלקר</t>
  </si>
  <si>
    <t>טיח - חומר</t>
  </si>
  <si>
    <t>10 קוב</t>
  </si>
  <si>
    <t>גלנצ</t>
  </si>
  <si>
    <t>משאית חול ושני משטחי מלט</t>
  </si>
  <si>
    <t>קירות קומה ראשונה</t>
  </si>
  <si>
    <t>פתחים קומה ראשונה</t>
  </si>
  <si>
    <t>קירות קומה שניה</t>
  </si>
  <si>
    <t>מספר שורות בלוק</t>
  </si>
  <si>
    <t>מטראז קומה שניה</t>
  </si>
  <si>
    <t>פתחים קומה שניה</t>
  </si>
  <si>
    <t>חישוב קיר מערבי</t>
  </si>
  <si>
    <t>מערבי - שורות</t>
  </si>
  <si>
    <t>מערבי - מטראז</t>
  </si>
  <si>
    <t>מזרחי - קיר</t>
  </si>
  <si>
    <t>מזרחי - שורות</t>
  </si>
  <si>
    <t>מזרחי - מטראז</t>
  </si>
  <si>
    <t>מזרחי בנפרד</t>
  </si>
  <si>
    <t>מערבי בנפרד</t>
  </si>
  <si>
    <t>ס”מ רץ בלוקים</t>
  </si>
  <si>
    <t>סה”כ</t>
  </si>
  <si>
    <t>ס"מ רבוע קיר</t>
  </si>
  <si>
    <t>מ”ר קיר</t>
  </si>
  <si>
    <t>חישוב מידות פתחים</t>
  </si>
  <si>
    <t>פחות 80% מהפתחים</t>
  </si>
  <si>
    <t>מק”ט</t>
  </si>
  <si>
    <t>רוחב</t>
  </si>
  <si>
    <t>גובה</t>
  </si>
  <si>
    <t>כמות</t>
  </si>
  <si>
    <t>שטח</t>
  </si>
  <si>
    <t>מטר רץ בלוקים</t>
  </si>
  <si>
    <t>קומה תחתונה</t>
  </si>
  <si>
    <t>2 בלוקים למטר</t>
  </si>
  <si>
    <t>1650 בלוקים</t>
  </si>
  <si>
    <t>חלון חדר</t>
  </si>
  <si>
    <t>מספר המשטחים</t>
  </si>
  <si>
    <t>חלון מקלחת</t>
  </si>
  <si>
    <t>חלון כנף תלוי</t>
  </si>
  <si>
    <t>קוב בלוקים</t>
  </si>
  <si>
    <t>חלון מטבח תחתון</t>
  </si>
  <si>
    <t>חלון סלון דרומי</t>
  </si>
  <si>
    <t>xox 6046</t>
  </si>
  <si>
    <t xml:space="preserve"> חישוב קומה ראשונה</t>
  </si>
  <si>
    <t>חלון סלון מערבי</t>
  </si>
  <si>
    <t>חלון ישיבה סלון</t>
  </si>
  <si>
    <t>xox 8060</t>
  </si>
  <si>
    <t>דלת סלון</t>
  </si>
  <si>
    <t>6080r</t>
  </si>
  <si>
    <t>דלת מחסן</t>
  </si>
  <si>
    <t>דלת כניסה</t>
  </si>
  <si>
    <t>803 בלוקים</t>
  </si>
  <si>
    <t>קומה עליונה</t>
  </si>
  <si>
    <t>13.5 משטחים</t>
  </si>
  <si>
    <t>6036 xox</t>
  </si>
  <si>
    <t>17.7 קוב</t>
  </si>
  <si>
    <t xml:space="preserve"> חישוב קומה שניה</t>
  </si>
  <si>
    <t>חלון סלון מזרחי</t>
  </si>
  <si>
    <t>חלון מטבח</t>
  </si>
  <si>
    <t>בלוקים 848</t>
  </si>
  <si>
    <t>מ”ר פתחים</t>
  </si>
  <si>
    <t>משטחים 14.1</t>
  </si>
  <si>
    <t>18.7 קוב</t>
  </si>
  <si>
    <t>מרפסת</t>
  </si>
  <si>
    <t>מ"ר</t>
  </si>
  <si>
    <t>סה”כ מ”ר לבנית בלוקים</t>
  </si>
  <si>
    <t>עמודים ממשיכים</t>
  </si>
  <si>
    <t>אורך</t>
  </si>
  <si>
    <t>תיאור</t>
  </si>
  <si>
    <t>סה”כ ברזל 12</t>
  </si>
  <si>
    <t>סה”כ חישוקים רגילים</t>
  </si>
  <si>
    <t>ברזל 8</t>
  </si>
  <si>
    <t>ברזל חפיפה</t>
  </si>
  <si>
    <t>ברזל לעמוד</t>
  </si>
  <si>
    <t>עמוד מרכזי אחד 16X40</t>
  </si>
  <si>
    <t>עמודים חדשים</t>
  </si>
  <si>
    <t>מעקה מרפסת</t>
  </si>
  <si>
    <t>עמוד ממשיך</t>
  </si>
  <si>
    <t>עמוד חדש</t>
  </si>
  <si>
    <t>משקופים</t>
  </si>
  <si>
    <t>חגורת אמצע</t>
  </si>
  <si>
    <t>מטר ברזל 8</t>
  </si>
  <si>
    <t>ברזל 8 באורך 6 מ’</t>
  </si>
  <si>
    <t>חגורה עליונה</t>
  </si>
  <si>
    <t>קורת רוחב</t>
  </si>
  <si>
    <t>ברזל 14</t>
  </si>
  <si>
    <t>6 יח של 6 מטר</t>
  </si>
  <si>
    <t>ברזל 10</t>
  </si>
  <si>
    <t>4 יחדות של 6 מטר</t>
  </si>
  <si>
    <t>קוצים ללמטה</t>
  </si>
  <si>
    <t>חיבורי עמוד קיר</t>
  </si>
  <si>
    <t xml:space="preserve"> פאנל</t>
  </si>
  <si>
    <t>בטון</t>
  </si>
  <si>
    <t>למטר</t>
  </si>
  <si>
    <t>לגג</t>
  </si>
  <si>
    <t>קורות ברזל</t>
  </si>
  <si>
    <t>קורות עץ</t>
  </si>
  <si>
    <t>X</t>
  </si>
  <si>
    <t>רשתות</t>
  </si>
  <si>
    <t>טפסנות תקרה</t>
  </si>
  <si>
    <t>לאטות 5*5</t>
  </si>
  <si>
    <t>יציקת בטון</t>
  </si>
  <si>
    <t>Y</t>
  </si>
  <si>
    <t>שיפועים</t>
  </si>
  <si>
    <t>ברגי איסכורית</t>
  </si>
  <si>
    <t>יריעות ביטומנית</t>
  </si>
  <si>
    <t>מעקה בלוקים</t>
  </si>
  <si>
    <t>מפתח</t>
  </si>
  <si>
    <t>+עובי קורה + עובי בלוק +חצי מטר אף</t>
  </si>
  <si>
    <t>+שיפוע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</si>
</sst>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d/m"/>
    <numFmt numFmtId="60" formatCode="# ###/###"/>
  </numFmts>
  <fonts count="4">
    <font>
      <sz val="10"/>
      <color indexed="8"/>
      <name val="Arial"/>
    </font>
    <font>
      <sz val="12"/>
      <color indexed="8"/>
      <name val="Helvetica"/>
    </font>
    <font>
      <sz val="13"/>
      <color indexed="8"/>
      <name val="Arial"/>
    </font>
    <font>
      <b val="1"/>
      <sz val="10"/>
      <color indexed="8"/>
      <name val="Arial"/>
    </font>
  </fonts>
  <fills count="1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</fills>
  <borders count="4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6"/>
      </right>
      <top style="thin">
        <color indexed="10"/>
      </top>
      <bottom style="thin">
        <color indexed="10"/>
      </bottom>
      <diagonal/>
    </border>
    <border>
      <left style="thin">
        <color indexed="16"/>
      </left>
      <right style="thin">
        <color indexed="10"/>
      </right>
      <top style="thin">
        <color indexed="16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6"/>
      </top>
      <bottom style="thin">
        <color indexed="10"/>
      </bottom>
      <diagonal/>
    </border>
    <border>
      <left style="thin">
        <color indexed="10"/>
      </left>
      <right style="thin">
        <color indexed="16"/>
      </right>
      <top style="thin">
        <color indexed="16"/>
      </top>
      <bottom style="thin">
        <color indexed="10"/>
      </bottom>
      <diagonal/>
    </border>
    <border>
      <left style="thin">
        <color indexed="16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6"/>
      </left>
      <right style="thin">
        <color indexed="10"/>
      </right>
      <top style="thin">
        <color indexed="10"/>
      </top>
      <bottom style="thin">
        <color indexed="16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6"/>
      </bottom>
      <diagonal/>
    </border>
    <border>
      <left style="thin">
        <color indexed="10"/>
      </left>
      <right style="thin">
        <color indexed="16"/>
      </right>
      <top style="thin">
        <color indexed="10"/>
      </top>
      <bottom style="thin">
        <color indexed="16"/>
      </bottom>
      <diagonal/>
    </border>
    <border>
      <left style="thin">
        <color indexed="10"/>
      </left>
      <right style="thin">
        <color indexed="10"/>
      </right>
      <top style="thin">
        <color indexed="16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9"/>
      </left>
      <right style="thin">
        <color indexed="19"/>
      </right>
      <top style="thin">
        <color indexed="19"/>
      </top>
      <bottom style="thin">
        <color indexed="20"/>
      </bottom>
      <diagonal/>
    </border>
    <border>
      <left style="thin">
        <color indexed="19"/>
      </left>
      <right style="thin">
        <color indexed="20"/>
      </right>
      <top style="thin">
        <color indexed="20"/>
      </top>
      <bottom style="thin">
        <color indexed="19"/>
      </bottom>
      <diagonal/>
    </border>
    <border>
      <left style="thin">
        <color indexed="20"/>
      </left>
      <right style="thin">
        <color indexed="19"/>
      </right>
      <top style="thin">
        <color indexed="20"/>
      </top>
      <bottom style="thin">
        <color indexed="19"/>
      </bottom>
      <diagonal/>
    </border>
    <border>
      <left style="thin">
        <color indexed="19"/>
      </left>
      <right style="thin">
        <color indexed="19"/>
      </right>
      <top style="thin">
        <color indexed="20"/>
      </top>
      <bottom style="thin">
        <color indexed="19"/>
      </bottom>
      <diagonal/>
    </border>
    <border>
      <left style="thin">
        <color indexed="19"/>
      </left>
      <right style="thin">
        <color indexed="20"/>
      </right>
      <top style="thin">
        <color indexed="19"/>
      </top>
      <bottom style="thin">
        <color indexed="19"/>
      </bottom>
      <diagonal/>
    </border>
    <border>
      <left style="thin">
        <color indexed="20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19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19"/>
      </left>
      <right style="thin">
        <color indexed="19"/>
      </right>
      <top style="thin">
        <color indexed="19"/>
      </top>
      <bottom style="thick">
        <color indexed="26"/>
      </bottom>
      <diagonal/>
    </border>
    <border>
      <left style="thin">
        <color indexed="19"/>
      </left>
      <right style="thick">
        <color indexed="26"/>
      </right>
      <top style="thin">
        <color indexed="19"/>
      </top>
      <bottom style="thin">
        <color indexed="19"/>
      </bottom>
      <diagonal/>
    </border>
    <border>
      <left style="thick">
        <color indexed="26"/>
      </left>
      <right style="thin">
        <color indexed="19"/>
      </right>
      <top style="thick">
        <color indexed="26"/>
      </top>
      <bottom style="thin">
        <color indexed="19"/>
      </bottom>
      <diagonal/>
    </border>
    <border>
      <left style="thin">
        <color indexed="19"/>
      </left>
      <right style="thin">
        <color indexed="19"/>
      </right>
      <top style="thick">
        <color indexed="26"/>
      </top>
      <bottom style="thin">
        <color indexed="19"/>
      </bottom>
      <diagonal/>
    </border>
    <border>
      <left style="thin">
        <color indexed="19"/>
      </left>
      <right style="thick">
        <color indexed="26"/>
      </right>
      <top style="thick">
        <color indexed="26"/>
      </top>
      <bottom style="thin">
        <color indexed="19"/>
      </bottom>
      <diagonal/>
    </border>
    <border>
      <left style="thick">
        <color indexed="26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ck">
        <color indexed="26"/>
      </left>
      <right style="thin">
        <color indexed="19"/>
      </right>
      <top style="thin">
        <color indexed="19"/>
      </top>
      <bottom style="thick">
        <color indexed="26"/>
      </bottom>
      <diagonal/>
    </border>
    <border>
      <left style="thin">
        <color indexed="19"/>
      </left>
      <right style="thick">
        <color indexed="26"/>
      </right>
      <top style="thin">
        <color indexed="19"/>
      </top>
      <bottom style="thick">
        <color indexed="26"/>
      </bottom>
      <diagonal/>
    </border>
    <border>
      <left style="thin">
        <color indexed="19"/>
      </left>
      <right style="thin">
        <color indexed="19"/>
      </right>
      <top style="thin">
        <color indexed="19"/>
      </top>
      <bottom style="thick">
        <color indexed="8"/>
      </bottom>
      <diagonal/>
    </border>
    <border>
      <left style="thin">
        <color indexed="19"/>
      </left>
      <right style="thick">
        <color indexed="8"/>
      </right>
      <top style="thin">
        <color indexed="19"/>
      </top>
      <bottom style="thin">
        <color indexed="19"/>
      </bottom>
      <diagonal/>
    </border>
    <border>
      <left style="thick">
        <color indexed="8"/>
      </left>
      <right style="thin">
        <color indexed="19"/>
      </right>
      <top style="thick">
        <color indexed="8"/>
      </top>
      <bottom style="thin">
        <color indexed="19"/>
      </bottom>
      <diagonal/>
    </border>
    <border>
      <left style="thin">
        <color indexed="19"/>
      </left>
      <right style="thin">
        <color indexed="19"/>
      </right>
      <top style="thick">
        <color indexed="8"/>
      </top>
      <bottom style="thin">
        <color indexed="19"/>
      </bottom>
      <diagonal/>
    </border>
    <border>
      <left style="thin">
        <color indexed="19"/>
      </left>
      <right style="thick">
        <color indexed="8"/>
      </right>
      <top style="thick">
        <color indexed="8"/>
      </top>
      <bottom style="thin">
        <color indexed="19"/>
      </bottom>
      <diagonal/>
    </border>
    <border>
      <left style="thick">
        <color indexed="8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ck">
        <color indexed="8"/>
      </left>
      <right style="thin">
        <color indexed="19"/>
      </right>
      <top style="thin">
        <color indexed="19"/>
      </top>
      <bottom style="thick">
        <color indexed="8"/>
      </bottom>
      <diagonal/>
    </border>
    <border>
      <left style="thin">
        <color indexed="19"/>
      </left>
      <right style="thick">
        <color indexed="8"/>
      </right>
      <top style="thin">
        <color indexed="19"/>
      </top>
      <bottom style="thick">
        <color indexed="8"/>
      </bottom>
      <diagonal/>
    </border>
    <border>
      <left style="thick">
        <color indexed="8"/>
      </left>
      <right style="thin">
        <color indexed="19"/>
      </right>
      <top style="thick">
        <color indexed="8"/>
      </top>
      <bottom style="thick">
        <color indexed="8"/>
      </bottom>
      <diagonal/>
    </border>
    <border>
      <left style="thin">
        <color indexed="19"/>
      </left>
      <right style="thin">
        <color indexed="19"/>
      </right>
      <top style="thick">
        <color indexed="8"/>
      </top>
      <bottom style="thick">
        <color indexed="8"/>
      </bottom>
      <diagonal/>
    </border>
    <border>
      <left style="thin">
        <color indexed="19"/>
      </left>
      <right style="thin">
        <color indexed="19"/>
      </right>
      <top style="thick">
        <color indexed="26"/>
      </top>
      <bottom style="thick">
        <color indexed="26"/>
      </bottom>
      <diagonal/>
    </border>
    <border>
      <left style="thin">
        <color indexed="19"/>
      </left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4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49" fontId="3" fillId="3" borderId="3" applyNumberFormat="1" applyFont="1" applyFill="1" applyBorder="1" applyAlignment="1" applyProtection="0">
      <alignment vertical="bottom"/>
    </xf>
    <xf numFmtId="49" fontId="3" fillId="3" borderId="4" applyNumberFormat="1" applyFont="1" applyFill="1" applyBorder="1" applyAlignment="1" applyProtection="0">
      <alignment vertical="bottom"/>
    </xf>
    <xf numFmtId="0" fontId="3" fillId="3" borderId="4" applyNumberFormat="1" applyFont="1" applyFill="1" applyBorder="1" applyAlignment="1" applyProtection="0">
      <alignment vertical="bottom"/>
    </xf>
    <xf numFmtId="0" fontId="3" fillId="3" borderId="5" applyNumberFormat="1" applyFont="1" applyFill="1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49" fontId="0" fillId="2" borderId="6" applyNumberFormat="1" applyFont="1" applyFill="1" applyBorder="1" applyAlignment="1" applyProtection="0">
      <alignment vertical="bottom"/>
    </xf>
    <xf numFmtId="0" fontId="0" fillId="2" borderId="6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59" fontId="0" fillId="2" borderId="2" applyNumberFormat="1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0" fontId="0" fillId="2" borderId="2" applyNumberFormat="1" applyFont="1" applyFill="1" applyBorder="1" applyAlignment="1" applyProtection="0">
      <alignment vertical="bottom"/>
    </xf>
    <xf numFmtId="0" fontId="0" fillId="2" borderId="3" applyNumberFormat="1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bottom"/>
    </xf>
    <xf numFmtId="0" fontId="0" fillId="2" borderId="4" applyNumberFormat="1" applyFont="1" applyFill="1" applyBorder="1" applyAlignment="1" applyProtection="0">
      <alignment vertical="bottom"/>
    </xf>
    <xf numFmtId="0" fontId="0" fillId="2" borderId="5" applyNumberFormat="1" applyFont="1" applyFill="1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59" fontId="0" fillId="2" borderId="3" applyNumberFormat="1" applyFont="1" applyFill="1" applyBorder="1" applyAlignment="1" applyProtection="0">
      <alignment vertical="bottom"/>
    </xf>
    <xf numFmtId="0" fontId="0" fillId="3" borderId="3" applyNumberFormat="1" applyFont="1" applyFill="1" applyBorder="1" applyAlignment="1" applyProtection="0">
      <alignment vertical="bottom"/>
    </xf>
    <xf numFmtId="49" fontId="0" fillId="3" borderId="4" applyNumberFormat="1" applyFont="1" applyFill="1" applyBorder="1" applyAlignment="1" applyProtection="0">
      <alignment vertical="bottom"/>
    </xf>
    <xf numFmtId="0" fontId="0" fillId="3" borderId="4" applyNumberFormat="1" applyFont="1" applyFill="1" applyBorder="1" applyAlignment="1" applyProtection="0">
      <alignment vertical="bottom"/>
    </xf>
    <xf numFmtId="0" fontId="0" fillId="3" borderId="5" applyNumberFormat="1" applyFont="1" applyFill="1" applyBorder="1" applyAlignment="1" applyProtection="0">
      <alignment vertical="bottom"/>
    </xf>
    <xf numFmtId="0" fontId="0" fillId="4" borderId="3" applyNumberFormat="1" applyFont="1" applyFill="1" applyBorder="1" applyAlignment="1" applyProtection="0">
      <alignment vertical="bottom"/>
    </xf>
    <xf numFmtId="49" fontId="0" fillId="4" borderId="4" applyNumberFormat="1" applyFont="1" applyFill="1" applyBorder="1" applyAlignment="1" applyProtection="0">
      <alignment vertical="bottom"/>
    </xf>
    <xf numFmtId="0" fontId="0" fillId="4" borderId="4" applyNumberFormat="1" applyFont="1" applyFill="1" applyBorder="1" applyAlignment="1" applyProtection="0">
      <alignment vertical="bottom"/>
    </xf>
    <xf numFmtId="0" fontId="0" fillId="4" borderId="5" applyNumberFormat="1" applyFont="1" applyFill="1" applyBorder="1" applyAlignment="1" applyProtection="0">
      <alignment vertical="bottom"/>
    </xf>
    <xf numFmtId="0" fontId="0" borderId="2" applyNumberFormat="1" applyFont="1" applyFill="0" applyBorder="1" applyAlignment="1" applyProtection="0">
      <alignment vertical="bottom"/>
    </xf>
    <xf numFmtId="49" fontId="0" borderId="2" applyNumberFormat="1" applyFont="1" applyFill="0" applyBorder="1" applyAlignment="1" applyProtection="0">
      <alignment vertical="bottom"/>
    </xf>
    <xf numFmtId="0" fontId="0" borderId="6" applyNumberFormat="1" applyFont="1" applyFill="0" applyBorder="1" applyAlignment="1" applyProtection="0">
      <alignment vertical="bottom"/>
    </xf>
    <xf numFmtId="49" fontId="0" borderId="6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fillId="5" borderId="6" applyNumberFormat="1" applyFont="1" applyFill="1" applyBorder="1" applyAlignment="1" applyProtection="0">
      <alignment vertical="bottom"/>
    </xf>
    <xf numFmtId="49" fontId="0" fillId="5" borderId="6" applyNumberFormat="1" applyFont="1" applyFill="1" applyBorder="1" applyAlignment="1" applyProtection="0">
      <alignment vertical="bottom"/>
    </xf>
    <xf numFmtId="59" fontId="0" fillId="2" borderId="1" applyNumberFormat="1" applyFont="1" applyFill="1" applyBorder="1" applyAlignment="1" applyProtection="0">
      <alignment vertical="bottom"/>
    </xf>
    <xf numFmtId="0" fontId="0" fillId="6" borderId="1" applyNumberFormat="1" applyFont="1" applyFill="1" applyBorder="1" applyAlignment="1" applyProtection="0">
      <alignment vertical="bottom"/>
    </xf>
    <xf numFmtId="49" fontId="0" fillId="6" borderId="1" applyNumberFormat="1" applyFont="1" applyFill="1" applyBorder="1" applyAlignment="1" applyProtection="0">
      <alignment vertical="bottom"/>
    </xf>
    <xf numFmtId="0" fontId="0" fillId="7" borderId="8" applyNumberFormat="1" applyFont="1" applyFill="1" applyBorder="1" applyAlignment="1" applyProtection="0">
      <alignment vertical="bottom"/>
    </xf>
    <xf numFmtId="49" fontId="0" fillId="7" borderId="9" applyNumberFormat="1" applyFont="1" applyFill="1" applyBorder="1" applyAlignment="1" applyProtection="0">
      <alignment vertical="bottom"/>
    </xf>
    <xf numFmtId="0" fontId="0" fillId="7" borderId="9" applyNumberFormat="1" applyFont="1" applyFill="1" applyBorder="1" applyAlignment="1" applyProtection="0">
      <alignment vertical="bottom"/>
    </xf>
    <xf numFmtId="0" fontId="0" fillId="7" borderId="10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3" borderId="8" applyNumberFormat="1" applyFont="1" applyFill="1" applyBorder="1" applyAlignment="1" applyProtection="0">
      <alignment vertical="bottom"/>
    </xf>
    <xf numFmtId="0" fontId="0" fillId="3" borderId="9" applyNumberFormat="1" applyFont="1" applyFill="1" applyBorder="1" applyAlignment="1" applyProtection="0">
      <alignment vertical="bottom"/>
    </xf>
    <xf numFmtId="0" fontId="0" fillId="3" borderId="10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1" applyNumberFormat="0" applyFont="1" applyFill="0" applyBorder="1" applyAlignment="1" applyProtection="0">
      <alignment vertical="bottom"/>
    </xf>
    <xf numFmtId="49" fontId="0" fillId="8" borderId="12" applyNumberFormat="1" applyFont="1" applyFill="1" applyBorder="1" applyAlignment="1" applyProtection="0">
      <alignment vertical="bottom"/>
    </xf>
    <xf numFmtId="0" fontId="0" fillId="8" borderId="13" applyNumberFormat="1" applyFont="1" applyFill="1" applyBorder="1" applyAlignment="1" applyProtection="0">
      <alignment vertical="bottom"/>
    </xf>
    <xf numFmtId="0" fontId="0" fillId="8" borderId="14" applyNumberFormat="1" applyFont="1" applyFill="1" applyBorder="1" applyAlignment="1" applyProtection="0">
      <alignment vertical="bottom"/>
    </xf>
    <xf numFmtId="0" fontId="0" borderId="15" applyNumberFormat="0" applyFont="1" applyFill="0" applyBorder="1" applyAlignment="1" applyProtection="0">
      <alignment vertical="bottom"/>
    </xf>
    <xf numFmtId="0" fontId="0" fillId="8" borderId="15" applyNumberFormat="1" applyFont="1" applyFill="1" applyBorder="1" applyAlignment="1" applyProtection="0">
      <alignment vertical="bottom"/>
    </xf>
    <xf numFmtId="49" fontId="0" fillId="8" borderId="1" applyNumberFormat="1" applyFont="1" applyFill="1" applyBorder="1" applyAlignment="1" applyProtection="0">
      <alignment vertical="bottom"/>
    </xf>
    <xf numFmtId="49" fontId="0" fillId="8" borderId="11" applyNumberFormat="1" applyFont="1" applyFill="1" applyBorder="1" applyAlignment="1" applyProtection="0">
      <alignment vertical="bottom"/>
    </xf>
    <xf numFmtId="49" fontId="0" fillId="8" borderId="15" applyNumberFormat="1" applyFont="1" applyFill="1" applyBorder="1" applyAlignment="1" applyProtection="0">
      <alignment vertical="bottom"/>
    </xf>
    <xf numFmtId="0" fontId="0" fillId="8" borderId="1" applyNumberFormat="1" applyFont="1" applyFill="1" applyBorder="1" applyAlignment="1" applyProtection="0">
      <alignment vertical="bottom"/>
    </xf>
    <xf numFmtId="0" fontId="0" fillId="8" borderId="1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8" borderId="15" applyNumberFormat="0" applyFont="1" applyFill="1" applyBorder="1" applyAlignment="1" applyProtection="0">
      <alignment vertical="bottom"/>
    </xf>
    <xf numFmtId="0" fontId="0" fillId="8" borderId="1" applyNumberFormat="0" applyFont="1" applyFill="1" applyBorder="1" applyAlignment="1" applyProtection="0">
      <alignment vertical="bottom"/>
    </xf>
    <xf numFmtId="0" fontId="0" fillId="8" borderId="11" applyNumberFormat="0" applyFont="1" applyFill="1" applyBorder="1" applyAlignment="1" applyProtection="0">
      <alignment vertical="bottom"/>
    </xf>
    <xf numFmtId="0" fontId="0" borderId="15" applyNumberFormat="1" applyFont="1" applyFill="0" applyBorder="1" applyAlignment="1" applyProtection="0">
      <alignment vertical="bottom"/>
    </xf>
    <xf numFmtId="49" fontId="0" fillId="8" borderId="16" applyNumberFormat="1" applyFont="1" applyFill="1" applyBorder="1" applyAlignment="1" applyProtection="0">
      <alignment vertical="bottom"/>
    </xf>
    <xf numFmtId="0" fontId="0" fillId="8" borderId="17" applyNumberFormat="1" applyFont="1" applyFill="1" applyBorder="1" applyAlignment="1" applyProtection="0">
      <alignment vertical="bottom"/>
    </xf>
    <xf numFmtId="0" fontId="0" fillId="8" borderId="18" applyNumberFormat="1" applyFont="1" applyFill="1" applyBorder="1" applyAlignment="1" applyProtection="0">
      <alignment vertical="bottom"/>
    </xf>
    <xf numFmtId="0" fontId="0" borderId="19" applyNumberFormat="0" applyFont="1" applyFill="0" applyBorder="1" applyAlignment="1" applyProtection="0">
      <alignment vertical="bottom"/>
    </xf>
    <xf numFmtId="49" fontId="0" fillId="4" borderId="3" applyNumberFormat="1" applyFont="1" applyFill="1" applyBorder="1" applyAlignment="1" applyProtection="0">
      <alignment vertical="bottom"/>
    </xf>
    <xf numFmtId="0" fontId="0" borderId="20" applyNumberFormat="0" applyFont="1" applyFill="0" applyBorder="1" applyAlignment="1" applyProtection="0">
      <alignment vertical="bottom"/>
    </xf>
    <xf numFmtId="0" fontId="0" borderId="21" applyNumberFormat="0" applyFont="1" applyFill="0" applyBorder="1" applyAlignment="1" applyProtection="0">
      <alignment vertical="bottom"/>
    </xf>
    <xf numFmtId="60" fontId="0" borderId="1" applyNumberFormat="1" applyFont="1" applyFill="0" applyBorder="1" applyAlignment="1" applyProtection="0">
      <alignment vertical="bottom"/>
    </xf>
    <xf numFmtId="49" fontId="0" fillId="9" borderId="1" applyNumberFormat="1" applyFont="1" applyFill="1" applyBorder="1" applyAlignment="1" applyProtection="0">
      <alignment vertical="bottom"/>
    </xf>
    <xf numFmtId="0" fontId="0" fillId="9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10" borderId="22" applyNumberFormat="0" applyFont="1" applyFill="1" applyBorder="1" applyAlignment="1" applyProtection="0">
      <alignment vertical="bottom"/>
    </xf>
    <xf numFmtId="49" fontId="0" fillId="10" borderId="22" applyNumberFormat="1" applyFont="1" applyFill="1" applyBorder="1" applyAlignment="1" applyProtection="0">
      <alignment vertical="bottom"/>
    </xf>
    <xf numFmtId="0" fontId="0" fillId="11" borderId="23" applyNumberFormat="0" applyFont="1" applyFill="1" applyBorder="1" applyAlignment="1" applyProtection="0">
      <alignment vertical="bottom"/>
    </xf>
    <xf numFmtId="0" fontId="0" borderId="24" applyNumberFormat="1" applyFont="1" applyFill="0" applyBorder="1" applyAlignment="1" applyProtection="0">
      <alignment vertical="bottom"/>
    </xf>
    <xf numFmtId="0" fontId="0" borderId="25" applyNumberFormat="0" applyFont="1" applyFill="0" applyBorder="1" applyAlignment="1" applyProtection="0">
      <alignment vertical="bottom"/>
    </xf>
    <xf numFmtId="0" fontId="0" fillId="12" borderId="25" applyNumberFormat="1" applyFont="1" applyFill="1" applyBorder="1" applyAlignment="1" applyProtection="0">
      <alignment vertical="bottom"/>
    </xf>
    <xf numFmtId="49" fontId="0" borderId="25" applyNumberFormat="1" applyFont="1" applyFill="0" applyBorder="1" applyAlignment="1" applyProtection="0">
      <alignment vertical="bottom"/>
    </xf>
    <xf numFmtId="0" fontId="0" borderId="25" applyNumberFormat="1" applyFont="1" applyFill="0" applyBorder="1" applyAlignment="1" applyProtection="0">
      <alignment vertical="bottom"/>
    </xf>
    <xf numFmtId="0" fontId="0" fillId="11" borderId="26" applyNumberFormat="0" applyFont="1" applyFill="1" applyBorder="1" applyAlignment="1" applyProtection="0">
      <alignment vertical="bottom"/>
    </xf>
    <xf numFmtId="0" fontId="0" borderId="27" applyNumberFormat="1" applyFont="1" applyFill="0" applyBorder="1" applyAlignment="1" applyProtection="0">
      <alignment vertical="bottom"/>
    </xf>
    <xf numFmtId="0" fontId="0" borderId="28" applyNumberFormat="0" applyFont="1" applyFill="0" applyBorder="1" applyAlignment="1" applyProtection="0">
      <alignment vertical="bottom"/>
    </xf>
    <xf numFmtId="0" fontId="0" fillId="13" borderId="28" applyNumberFormat="1" applyFont="1" applyFill="1" applyBorder="1" applyAlignment="1" applyProtection="0">
      <alignment vertical="bottom"/>
    </xf>
    <xf numFmtId="0" fontId="0" borderId="28" applyNumberFormat="1" applyFont="1" applyFill="0" applyBorder="1" applyAlignment="1" applyProtection="0">
      <alignment vertical="bottom"/>
    </xf>
    <xf numFmtId="0" fontId="0" fillId="14" borderId="28" applyNumberFormat="1" applyFont="1" applyFill="1" applyBorder="1" applyAlignment="1" applyProtection="0">
      <alignment vertical="bottom"/>
    </xf>
    <xf numFmtId="49" fontId="0" borderId="28" applyNumberFormat="1" applyFont="1" applyFill="0" applyBorder="1" applyAlignment="1" applyProtection="0">
      <alignment vertical="bottom"/>
    </xf>
    <xf numFmtId="0" fontId="0" fillId="15" borderId="28" applyNumberFormat="1" applyFont="1" applyFill="1" applyBorder="1" applyAlignment="1" applyProtection="0">
      <alignment vertical="bottom"/>
    </xf>
    <xf numFmtId="0" fontId="0" fillId="12" borderId="28" applyNumberFormat="1" applyFont="1" applyFill="1" applyBorder="1" applyAlignment="1" applyProtection="0">
      <alignment vertical="bottom"/>
    </xf>
    <xf numFmtId="0" fontId="0" borderId="27" applyNumberFormat="0" applyFont="1" applyFill="0" applyBorder="1" applyAlignment="1" applyProtection="0">
      <alignment vertical="bottom"/>
    </xf>
    <xf numFmtId="0" fontId="0" fillId="8" borderId="28" applyNumberFormat="1" applyFont="1" applyFill="1" applyBorder="1" applyAlignment="1" applyProtection="0">
      <alignment vertical="bottom"/>
    </xf>
    <xf numFmtId="49" fontId="0" borderId="27" applyNumberFormat="1" applyFont="1" applyFill="0" applyBorder="1" applyAlignment="1" applyProtection="0">
      <alignment vertical="bottom"/>
    </xf>
    <xf numFmtId="49" fontId="0" fillId="13" borderId="28" applyNumberFormat="1" applyFont="1" applyFill="1" applyBorder="1" applyAlignment="1" applyProtection="0">
      <alignment vertical="bottom"/>
    </xf>
    <xf numFmtId="0" fontId="0" fillId="13" borderId="29" applyNumberFormat="1" applyFont="1" applyFill="1" applyBorder="1" applyAlignment="1" applyProtection="0">
      <alignment vertical="bottom"/>
    </xf>
    <xf numFmtId="49" fontId="0" fillId="13" borderId="29" applyNumberFormat="1" applyFont="1" applyFill="1" applyBorder="1" applyAlignment="1" applyProtection="0">
      <alignment vertical="bottom"/>
    </xf>
    <xf numFmtId="0" fontId="0" borderId="29" applyNumberFormat="0" applyFont="1" applyFill="0" applyBorder="1" applyAlignment="1" applyProtection="0">
      <alignment vertical="bottom"/>
    </xf>
    <xf numFmtId="0" fontId="0" borderId="30" applyNumberFormat="0" applyFont="1" applyFill="0" applyBorder="1" applyAlignment="1" applyProtection="0">
      <alignment vertical="bottom"/>
    </xf>
    <xf numFmtId="0" fontId="0" fillId="8" borderId="31" applyNumberFormat="1" applyFont="1" applyFill="1" applyBorder="1" applyAlignment="1" applyProtection="0">
      <alignment vertical="bottom"/>
    </xf>
    <xf numFmtId="49" fontId="0" fillId="8" borderId="32" applyNumberFormat="1" applyFont="1" applyFill="1" applyBorder="1" applyAlignment="1" applyProtection="0">
      <alignment vertical="bottom"/>
    </xf>
    <xf numFmtId="0" fontId="0" fillId="8" borderId="33" applyNumberFormat="0" applyFont="1" applyFill="1" applyBorder="1" applyAlignment="1" applyProtection="0">
      <alignment vertical="bottom"/>
    </xf>
    <xf numFmtId="0" fontId="0" borderId="34" applyNumberFormat="0" applyFont="1" applyFill="0" applyBorder="1" applyAlignment="1" applyProtection="0">
      <alignment vertical="bottom"/>
    </xf>
    <xf numFmtId="0" fontId="0" fillId="8" borderId="34" applyNumberFormat="1" applyFont="1" applyFill="1" applyBorder="1" applyAlignment="1" applyProtection="0">
      <alignment vertical="bottom"/>
    </xf>
    <xf numFmtId="49" fontId="0" fillId="8" borderId="28" applyNumberFormat="1" applyFont="1" applyFill="1" applyBorder="1" applyAlignment="1" applyProtection="0">
      <alignment vertical="bottom"/>
    </xf>
    <xf numFmtId="0" fontId="0" fillId="8" borderId="30" applyNumberFormat="0" applyFont="1" applyFill="1" applyBorder="1" applyAlignment="1" applyProtection="0">
      <alignment vertical="bottom"/>
    </xf>
    <xf numFmtId="0" fontId="0" fillId="8" borderId="30" applyNumberFormat="1" applyFont="1" applyFill="1" applyBorder="1" applyAlignment="1" applyProtection="0">
      <alignment vertical="bottom"/>
    </xf>
    <xf numFmtId="49" fontId="0" borderId="30" applyNumberFormat="1" applyFont="1" applyFill="0" applyBorder="1" applyAlignment="1" applyProtection="0">
      <alignment vertical="bottom"/>
    </xf>
    <xf numFmtId="49" fontId="0" fillId="8" borderId="30" applyNumberFormat="1" applyFont="1" applyFill="1" applyBorder="1" applyAlignment="1" applyProtection="0">
      <alignment vertical="bottom"/>
    </xf>
    <xf numFmtId="0" fontId="0" borderId="30" applyNumberFormat="1" applyFont="1" applyFill="0" applyBorder="1" applyAlignment="1" applyProtection="0">
      <alignment vertical="bottom"/>
    </xf>
    <xf numFmtId="0" fontId="0" fillId="8" borderId="35" applyNumberFormat="1" applyFont="1" applyFill="1" applyBorder="1" applyAlignment="1" applyProtection="0">
      <alignment vertical="bottom"/>
    </xf>
    <xf numFmtId="49" fontId="0" fillId="8" borderId="29" applyNumberFormat="1" applyFont="1" applyFill="1" applyBorder="1" applyAlignment="1" applyProtection="0">
      <alignment vertical="bottom"/>
    </xf>
    <xf numFmtId="0" fontId="0" fillId="8" borderId="36" applyNumberFormat="1" applyFont="1" applyFill="1" applyBorder="1" applyAlignment="1" applyProtection="0">
      <alignment vertical="bottom"/>
    </xf>
    <xf numFmtId="0" fontId="0" borderId="32" applyNumberFormat="0" applyFont="1" applyFill="0" applyBorder="1" applyAlignment="1" applyProtection="0">
      <alignment vertical="bottom"/>
    </xf>
    <xf numFmtId="0" fontId="0" borderId="37" applyNumberFormat="0" applyFont="1" applyFill="0" applyBorder="1" applyAlignment="1" applyProtection="0">
      <alignment vertical="bottom"/>
    </xf>
    <xf numFmtId="0" fontId="0" borderId="38" applyNumberFormat="1" applyFont="1" applyFill="0" applyBorder="1" applyAlignment="1" applyProtection="0">
      <alignment vertical="bottom"/>
    </xf>
    <xf numFmtId="0" fontId="0" borderId="39" applyNumberFormat="0" applyFont="1" applyFill="0" applyBorder="1" applyAlignment="1" applyProtection="0">
      <alignment vertical="bottom"/>
    </xf>
    <xf numFmtId="49" fontId="0" borderId="40" applyNumberFormat="1" applyFont="1" applyFill="0" applyBorder="1" applyAlignment="1" applyProtection="0">
      <alignment vertical="bottom"/>
    </xf>
    <xf numFmtId="0" fontId="0" borderId="40" applyNumberFormat="1" applyFont="1" applyFill="0" applyBorder="1" applyAlignment="1" applyProtection="0">
      <alignment vertical="bottom"/>
    </xf>
    <xf numFmtId="0" fontId="0" borderId="41" applyNumberFormat="1" applyFont="1" applyFill="0" applyBorder="1" applyAlignment="1" applyProtection="0">
      <alignment vertical="bottom"/>
    </xf>
    <xf numFmtId="0" fontId="0" borderId="42" applyNumberFormat="0" applyFont="1" applyFill="0" applyBorder="1" applyAlignment="1" applyProtection="0">
      <alignment vertical="bottom"/>
    </xf>
    <xf numFmtId="0" fontId="0" borderId="42" applyNumberFormat="1" applyFont="1" applyFill="0" applyBorder="1" applyAlignment="1" applyProtection="0">
      <alignment vertical="bottom"/>
    </xf>
    <xf numFmtId="0" fontId="0" fillId="13" borderId="38" applyNumberFormat="1" applyFont="1" applyFill="1" applyBorder="1" applyAlignment="1" applyProtection="0">
      <alignment vertical="bottom"/>
    </xf>
    <xf numFmtId="49" fontId="0" fillId="12" borderId="38" applyNumberFormat="1" applyFont="1" applyFill="1" applyBorder="1" applyAlignment="1" applyProtection="0">
      <alignment vertical="bottom"/>
    </xf>
    <xf numFmtId="0" fontId="0" borderId="43" applyNumberFormat="1" applyFont="1" applyFill="0" applyBorder="1" applyAlignment="1" applyProtection="0">
      <alignment vertical="bottom"/>
    </xf>
    <xf numFmtId="0" fontId="0" borderId="37" applyNumberFormat="1" applyFont="1" applyFill="0" applyBorder="1" applyAlignment="1" applyProtection="0">
      <alignment vertical="bottom"/>
    </xf>
    <xf numFmtId="49" fontId="0" fillId="12" borderId="44" applyNumberFormat="1" applyFont="1" applyFill="1" applyBorder="1" applyAlignment="1" applyProtection="0">
      <alignment vertical="bottom"/>
    </xf>
    <xf numFmtId="0" fontId="0" borderId="32" applyNumberFormat="1" applyFont="1" applyFill="0" applyBorder="1" applyAlignment="1" applyProtection="0">
      <alignment vertical="bottom"/>
    </xf>
    <xf numFmtId="49" fontId="0" borderId="45" applyNumberFormat="1" applyFont="1" applyFill="0" applyBorder="1" applyAlignment="1" applyProtection="0">
      <alignment vertical="bottom"/>
    </xf>
    <xf numFmtId="0" fontId="0" borderId="46" applyNumberFormat="1" applyFont="1" applyFill="0" applyBorder="1" applyAlignment="1" applyProtection="0">
      <alignment vertical="bottom"/>
    </xf>
    <xf numFmtId="49" fontId="0" fillId="8" borderId="47" applyNumberFormat="1" applyFont="1" applyFill="1" applyBorder="1" applyAlignment="1" applyProtection="0">
      <alignment vertical="bottom"/>
    </xf>
    <xf numFmtId="49" fontId="0" fillId="12" borderId="48" applyNumberFormat="1" applyFont="1" applyFill="1" applyBorder="1" applyAlignment="1" applyProtection="0">
      <alignment vertical="bottom"/>
    </xf>
    <xf numFmtId="0" fontId="0" borderId="45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11" borderId="23" applyNumberFormat="1" applyFont="1" applyFill="1" applyBorder="1" applyAlignment="1" applyProtection="0">
      <alignment vertical="bottom"/>
    </xf>
    <xf numFmtId="49" fontId="0" fillId="11" borderId="26" applyNumberFormat="1" applyFont="1" applyFill="1" applyBorder="1" applyAlignment="1" applyProtection="0">
      <alignment vertical="bottom"/>
    </xf>
    <xf numFmtId="49" fontId="0" fillId="12" borderId="28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24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d9d9d9"/>
      <rgbColor rgb="ffcccccc"/>
      <rgbColor rgb="ffb4cc82"/>
      <rgbColor rgb="ffdddddd"/>
      <rgbColor rgb="ff999999"/>
      <rgbColor rgb="ffa5d5e2"/>
      <rgbColor rgb="fffbcaa2"/>
      <rgbColor rgb="ffbdc0bf"/>
      <rgbColor rgb="ffa5a5a5"/>
      <rgbColor rgb="ff3f3f3f"/>
      <rgbColor rgb="ffdbdbdb"/>
      <rgbColor rgb="ffcdddac"/>
      <rgbColor rgb="fff79646"/>
      <rgbColor rgb="ffc0504d"/>
      <rgbColor rgb="ff78c0d4"/>
      <rgbColor rgb="ff515151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Z68"/>
  <sheetViews>
    <sheetView workbookViewId="0" showGridLines="0" defaultGridColor="1"/>
  </sheetViews>
  <sheetFormatPr defaultColWidth="14.5" defaultRowHeight="15.75" customHeight="1" outlineLevelRow="0" outlineLevelCol="0"/>
  <cols>
    <col min="1" max="1" width="14.5" style="1" customWidth="1"/>
    <col min="2" max="2" width="14.5" style="1" customWidth="1"/>
    <col min="3" max="3" width="14.5" style="1" customWidth="1"/>
    <col min="4" max="4" width="38.8516" style="1" customWidth="1"/>
    <col min="5" max="5" width="15.8516" style="1" customWidth="1"/>
    <col min="6" max="6" width="14.5" style="1" customWidth="1"/>
    <col min="7" max="7" width="14.5" style="1" customWidth="1"/>
    <col min="8" max="8" width="14.5" style="1" customWidth="1"/>
    <col min="9" max="9" width="14.5" style="1" customWidth="1"/>
    <col min="10" max="10" width="14.5" style="1" customWidth="1"/>
    <col min="11" max="11" width="14.5" style="1" customWidth="1"/>
    <col min="12" max="12" width="14.5" style="1" customWidth="1"/>
    <col min="13" max="13" width="14.5" style="1" customWidth="1"/>
    <col min="14" max="14" width="14.5" style="1" customWidth="1"/>
    <col min="15" max="15" width="14.5" style="1" customWidth="1"/>
    <col min="16" max="16" width="14.5" style="1" customWidth="1"/>
    <col min="17" max="17" width="14.5" style="1" customWidth="1"/>
    <col min="18" max="18" width="14.5" style="1" customWidth="1"/>
    <col min="19" max="19" width="14.5" style="1" customWidth="1"/>
    <col min="20" max="20" width="14.5" style="1" customWidth="1"/>
    <col min="21" max="21" width="14.5" style="1" customWidth="1"/>
    <col min="22" max="22" width="14.5" style="1" customWidth="1"/>
    <col min="23" max="23" width="14.5" style="1" customWidth="1"/>
    <col min="24" max="24" width="14.5" style="1" customWidth="1"/>
    <col min="25" max="25" width="14.5" style="1" customWidth="1"/>
    <col min="26" max="26" width="14.5" style="1" customWidth="1"/>
    <col min="27" max="256" width="14.5" style="1" customWidth="1"/>
  </cols>
  <sheetData>
    <row r="1" ht="13.65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3.6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3.6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3.65" customHeight="1">
      <c r="A4" t="s" s="5">
        <v>1</v>
      </c>
      <c r="B4" t="s" s="6">
        <v>2</v>
      </c>
      <c r="C4" t="s" s="6">
        <v>3</v>
      </c>
      <c r="D4" t="s" s="6">
        <v>4</v>
      </c>
      <c r="E4" t="s" s="6">
        <v>5</v>
      </c>
      <c r="F4" t="s" s="6">
        <v>6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8"/>
    </row>
    <row r="5" ht="13.65" customHeight="1">
      <c r="A5" s="9"/>
      <c r="B5" t="s" s="10">
        <v>7</v>
      </c>
      <c r="C5" s="11">
        <v>3000</v>
      </c>
      <c r="D5" t="s" s="10">
        <v>8</v>
      </c>
      <c r="E5" s="9"/>
      <c r="F5" t="s" s="10">
        <v>9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3.65" customHeight="1">
      <c r="A6" s="3"/>
      <c r="B6" t="s" s="2">
        <v>10</v>
      </c>
      <c r="C6" s="12">
        <v>5000</v>
      </c>
      <c r="D6" t="s" s="2">
        <v>11</v>
      </c>
      <c r="E6" s="3"/>
      <c r="F6" t="s" s="2">
        <v>12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3.65" customHeight="1">
      <c r="A7" s="12">
        <v>21.5</v>
      </c>
      <c r="B7" t="s" s="2">
        <v>13</v>
      </c>
      <c r="C7" s="12">
        <v>584</v>
      </c>
      <c r="D7" t="s" s="2">
        <v>14</v>
      </c>
      <c r="E7" s="3"/>
      <c r="F7" t="s" s="2">
        <v>15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3.65" customHeight="1">
      <c r="A8" s="3"/>
      <c r="B8" t="s" s="2">
        <v>16</v>
      </c>
      <c r="C8" s="12">
        <v>0</v>
      </c>
      <c r="D8" t="s" s="2">
        <v>17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3.65" customHeight="1">
      <c r="A9" s="3"/>
      <c r="B9" t="s" s="2">
        <v>18</v>
      </c>
      <c r="C9" s="12">
        <v>3400</v>
      </c>
      <c r="D9" t="s" s="2">
        <v>19</v>
      </c>
      <c r="E9" s="3"/>
      <c r="F9" t="s" s="2">
        <v>20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3.65" customHeight="1">
      <c r="A10" s="12">
        <v>22.6</v>
      </c>
      <c r="B10" t="s" s="2">
        <v>21</v>
      </c>
      <c r="C10" s="12">
        <v>105</v>
      </c>
      <c r="D10" t="s" s="2">
        <v>22</v>
      </c>
      <c r="E10" s="3"/>
      <c r="F10" s="12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3.65" customHeight="1">
      <c r="A11" s="13">
        <v>42548</v>
      </c>
      <c r="B11" t="s" s="14">
        <v>23</v>
      </c>
      <c r="C11" s="15">
        <v>80</v>
      </c>
      <c r="D11" t="s" s="14">
        <v>24</v>
      </c>
      <c r="E11" s="4"/>
      <c r="F11" t="s" s="14">
        <v>25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3.65" customHeight="1">
      <c r="A12" s="16">
        <v>3.7</v>
      </c>
      <c r="B12" t="s" s="17">
        <v>26</v>
      </c>
      <c r="C12" s="18">
        <v>1500</v>
      </c>
      <c r="D12" t="s" s="17">
        <v>27</v>
      </c>
      <c r="E12" s="18"/>
      <c r="F12" t="s" s="17">
        <v>20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9"/>
    </row>
    <row r="13" ht="13.65" customHeight="1">
      <c r="A13" s="16">
        <v>6.7</v>
      </c>
      <c r="B13" t="s" s="17">
        <v>28</v>
      </c>
      <c r="C13" s="18">
        <v>6000</v>
      </c>
      <c r="D13" t="s" s="17">
        <v>29</v>
      </c>
      <c r="E13" s="18"/>
      <c r="F13" t="s" s="17">
        <v>20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9"/>
    </row>
    <row r="14" ht="13.65" customHeight="1">
      <c r="A14" s="16">
        <v>18.7</v>
      </c>
      <c r="B14" t="s" s="17">
        <v>30</v>
      </c>
      <c r="C14" s="18">
        <v>200</v>
      </c>
      <c r="D14" t="s" s="17">
        <v>31</v>
      </c>
      <c r="E14" s="18"/>
      <c r="F14" t="s" s="17">
        <v>20</v>
      </c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9"/>
    </row>
    <row r="15" ht="13.65" customHeight="1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ht="13.65" customHeight="1">
      <c r="A16" s="21">
        <v>42578</v>
      </c>
      <c r="B16" t="s" s="17">
        <v>32</v>
      </c>
      <c r="C16" s="18">
        <v>21150</v>
      </c>
      <c r="D16" t="s" s="17">
        <v>33</v>
      </c>
      <c r="E16" s="18"/>
      <c r="F16" t="s" s="17">
        <v>34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9"/>
    </row>
    <row r="17" ht="13.65" customHeight="1">
      <c r="A17" s="16">
        <v>8.800000000000001</v>
      </c>
      <c r="B17" t="s" s="17">
        <v>23</v>
      </c>
      <c r="C17" s="18">
        <f>1700-400-148</f>
        <v>1152</v>
      </c>
      <c r="D17" t="s" s="17">
        <v>35</v>
      </c>
      <c r="E17" s="18"/>
      <c r="F17" t="s" s="17">
        <v>36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9"/>
    </row>
    <row r="18" ht="13.65" customHeight="1">
      <c r="A18" s="16">
        <v>10.8</v>
      </c>
      <c r="B18" t="s" s="17">
        <v>26</v>
      </c>
      <c r="C18" s="18">
        <v>1500</v>
      </c>
      <c r="D18" t="s" s="17">
        <v>37</v>
      </c>
      <c r="E18" s="18"/>
      <c r="F18" t="s" s="17">
        <v>20</v>
      </c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9"/>
    </row>
    <row r="19" ht="13.65" customHeight="1">
      <c r="A19" s="16">
        <v>10.8</v>
      </c>
      <c r="B19" t="s" s="17">
        <v>38</v>
      </c>
      <c r="C19" s="18">
        <v>585</v>
      </c>
      <c r="D19" t="s" s="17">
        <v>39</v>
      </c>
      <c r="E19" s="18"/>
      <c r="F19" t="s" s="17">
        <v>40</v>
      </c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9"/>
    </row>
    <row r="20" ht="13.65" customHeight="1">
      <c r="A20" s="16">
        <v>12.8</v>
      </c>
      <c r="B20" s="17"/>
      <c r="C20" s="18">
        <v>388</v>
      </c>
      <c r="D20" t="s" s="17">
        <v>41</v>
      </c>
      <c r="E20" s="18"/>
      <c r="F20" t="s" s="17">
        <v>40</v>
      </c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9"/>
    </row>
    <row r="21" ht="13.65" customHeight="1">
      <c r="A21" s="22"/>
      <c r="B21" t="s" s="23">
        <v>42</v>
      </c>
      <c r="C21" s="24">
        <f>SUM(C5:C20)</f>
        <v>44644</v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5"/>
    </row>
    <row r="22" ht="13.65" customHeight="1">
      <c r="A22" s="11">
        <v>3.5</v>
      </c>
      <c r="B22" t="s" s="10">
        <v>28</v>
      </c>
      <c r="C22" s="11">
        <v>250</v>
      </c>
      <c r="D22" t="s" s="10">
        <v>43</v>
      </c>
      <c r="E22" s="9"/>
      <c r="F22" t="s" s="10">
        <v>20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3.65" customHeight="1">
      <c r="A23" s="3"/>
      <c r="B23" t="s" s="2">
        <v>44</v>
      </c>
      <c r="C23" s="12">
        <v>20800</v>
      </c>
      <c r="D23" t="s" s="2">
        <v>45</v>
      </c>
      <c r="E23" s="3"/>
      <c r="F23" t="s" s="2">
        <v>34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3.65" customHeight="1">
      <c r="A24" s="12">
        <v>25.5</v>
      </c>
      <c r="B24" t="s" s="2">
        <v>46</v>
      </c>
      <c r="C24" s="12">
        <v>1640</v>
      </c>
      <c r="D24" t="s" s="2">
        <v>47</v>
      </c>
      <c r="E24" s="3"/>
      <c r="F24" t="s" s="2">
        <v>48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3.65" customHeight="1">
      <c r="A25" s="12">
        <v>26.5</v>
      </c>
      <c r="B25" t="s" s="2">
        <v>30</v>
      </c>
      <c r="C25" s="12">
        <v>1050</v>
      </c>
      <c r="D25" t="s" s="2">
        <v>49</v>
      </c>
      <c r="E25" s="3"/>
      <c r="F25" t="s" s="2">
        <v>20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3.65" customHeight="1">
      <c r="A26" s="12">
        <v>30.5</v>
      </c>
      <c r="B26" t="s" s="2">
        <v>50</v>
      </c>
      <c r="C26" s="12">
        <f>11*335+100+15</f>
        <v>3800</v>
      </c>
      <c r="D26" t="s" s="2">
        <v>51</v>
      </c>
      <c r="E26" t="s" s="2">
        <v>52</v>
      </c>
      <c r="F26" t="s" s="2">
        <v>20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3.65" customHeight="1">
      <c r="A27" s="12">
        <v>30.5</v>
      </c>
      <c r="B27" t="s" s="2">
        <v>50</v>
      </c>
      <c r="C27" s="12">
        <v>1100</v>
      </c>
      <c r="D27" t="s" s="2">
        <v>53</v>
      </c>
      <c r="E27" t="s" s="2">
        <v>52</v>
      </c>
      <c r="F27" t="s" s="2">
        <v>20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3.65" customHeight="1">
      <c r="A28" s="12">
        <v>1.6</v>
      </c>
      <c r="B28" t="s" s="2">
        <v>54</v>
      </c>
      <c r="C28" s="12">
        <f>175*14</f>
        <v>2450</v>
      </c>
      <c r="D28" t="s" s="2">
        <v>55</v>
      </c>
      <c r="E28" s="3"/>
      <c r="F28" t="s" s="2">
        <v>20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3.65" customHeight="1">
      <c r="A29" s="15">
        <v>5.6</v>
      </c>
      <c r="B29" t="s" s="14">
        <v>30</v>
      </c>
      <c r="C29" s="15">
        <v>30000</v>
      </c>
      <c r="D29" t="s" s="14">
        <v>56</v>
      </c>
      <c r="E29" s="4"/>
      <c r="F29" t="s" s="14">
        <v>34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3.65" customHeight="1">
      <c r="A30" s="22"/>
      <c r="B30" t="s" s="23">
        <v>57</v>
      </c>
      <c r="C30" s="24">
        <f>SUM(C22:C23,C24:C29)</f>
        <v>61090</v>
      </c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5"/>
    </row>
    <row r="31" ht="13.65" customHeight="1">
      <c r="A31" s="11">
        <v>6.6</v>
      </c>
      <c r="B31" t="s" s="10">
        <v>30</v>
      </c>
      <c r="C31" s="11">
        <v>1800</v>
      </c>
      <c r="D31" t="s" s="10">
        <v>58</v>
      </c>
      <c r="E31" s="9"/>
      <c r="F31" t="s" s="10">
        <v>20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3.65" customHeight="1">
      <c r="A32" s="12">
        <v>9.6</v>
      </c>
      <c r="B32" t="s" s="2">
        <v>23</v>
      </c>
      <c r="C32" s="12">
        <v>3400</v>
      </c>
      <c r="D32" t="s" s="2">
        <v>59</v>
      </c>
      <c r="E32" s="3"/>
      <c r="F32" t="s" s="2">
        <v>60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3.65" customHeight="1">
      <c r="A33" s="12">
        <v>14.6</v>
      </c>
      <c r="B33" t="s" s="2">
        <v>28</v>
      </c>
      <c r="C33" s="12">
        <v>2700</v>
      </c>
      <c r="D33" t="s" s="2">
        <v>61</v>
      </c>
      <c r="E33" s="3"/>
      <c r="F33" t="s" s="2">
        <v>20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3.65" customHeight="1">
      <c r="A34" s="12">
        <v>14.6</v>
      </c>
      <c r="B34" t="s" s="2">
        <v>28</v>
      </c>
      <c r="C34" s="12">
        <v>1734</v>
      </c>
      <c r="D34" t="s" s="2">
        <v>62</v>
      </c>
      <c r="E34" s="3"/>
      <c r="F34" t="s" s="2">
        <v>20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3.65" customHeight="1">
      <c r="A35" s="12">
        <v>15.6</v>
      </c>
      <c r="B35" t="s" s="2">
        <v>23</v>
      </c>
      <c r="C35" s="12">
        <v>135</v>
      </c>
      <c r="D35" t="s" s="2">
        <v>63</v>
      </c>
      <c r="E35" s="3"/>
      <c r="F35" t="s" s="2">
        <v>60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3.65" customHeight="1">
      <c r="A36" s="12">
        <v>15.6</v>
      </c>
      <c r="B36" t="s" s="2">
        <v>64</v>
      </c>
      <c r="C36" s="12">
        <v>14700</v>
      </c>
      <c r="D36" t="s" s="2">
        <v>65</v>
      </c>
      <c r="E36" s="12">
        <v>25400067</v>
      </c>
      <c r="F36" t="s" s="2">
        <v>34</v>
      </c>
      <c r="G36" t="s" s="2">
        <v>66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3.65" customHeight="1">
      <c r="A37" s="12">
        <v>18.6</v>
      </c>
      <c r="B37" t="s" s="2">
        <v>67</v>
      </c>
      <c r="C37" s="12">
        <f>200+100</f>
        <v>300</v>
      </c>
      <c r="D37" t="s" s="2">
        <v>68</v>
      </c>
      <c r="E37" s="3"/>
      <c r="F37" t="s" s="2">
        <v>20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3.65" customHeight="1">
      <c r="A38" s="12">
        <v>19.6</v>
      </c>
      <c r="B38" t="s" s="2">
        <v>69</v>
      </c>
      <c r="C38" s="12">
        <f>327*37</f>
        <v>12099</v>
      </c>
      <c r="D38" t="s" s="2">
        <v>70</v>
      </c>
      <c r="E38" s="3"/>
      <c r="F38" t="s" s="2">
        <v>71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3.65" customHeight="1">
      <c r="A39" s="12">
        <v>19.6</v>
      </c>
      <c r="B39" t="s" s="2">
        <v>72</v>
      </c>
      <c r="C39" s="12">
        <v>1200</v>
      </c>
      <c r="D39" t="s" s="2">
        <v>73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3.65" customHeight="1">
      <c r="A40" s="15">
        <v>21.6</v>
      </c>
      <c r="B40" t="s" s="14">
        <v>30</v>
      </c>
      <c r="C40" s="15">
        <v>32200</v>
      </c>
      <c r="D40" t="s" s="14">
        <v>74</v>
      </c>
      <c r="E40" s="4"/>
      <c r="F40" t="s" s="14">
        <v>34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3.65" customHeight="1">
      <c r="A41" s="26"/>
      <c r="B41" t="s" s="27">
        <v>75</v>
      </c>
      <c r="C41" s="28">
        <f>SUM(C31:C40)</f>
        <v>70268</v>
      </c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9"/>
    </row>
    <row r="42" ht="13.65" customHeight="1">
      <c r="A42" s="11">
        <v>22.6</v>
      </c>
      <c r="B42" t="s" s="10">
        <v>30</v>
      </c>
      <c r="C42" s="11">
        <v>1440</v>
      </c>
      <c r="D42" t="s" s="10">
        <v>76</v>
      </c>
      <c r="E42" s="9"/>
      <c r="F42" t="s" s="10">
        <v>20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3.65" customHeight="1">
      <c r="A43" s="12">
        <v>12.7</v>
      </c>
      <c r="B43" t="s" s="2">
        <v>30</v>
      </c>
      <c r="C43" s="12">
        <v>30330</v>
      </c>
      <c r="D43" t="s" s="2">
        <v>77</v>
      </c>
      <c r="E43" s="3"/>
      <c r="F43" t="s" s="2">
        <v>34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3.65" customHeight="1">
      <c r="A44" s="30">
        <v>28.7</v>
      </c>
      <c r="B44" t="s" s="31">
        <v>78</v>
      </c>
      <c r="C44" s="30">
        <v>5000</v>
      </c>
      <c r="D44" t="s" s="31">
        <v>79</v>
      </c>
      <c r="E44" s="4"/>
      <c r="F44" t="s" s="31">
        <v>20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3.65" customHeight="1">
      <c r="A45" s="16">
        <v>24.7</v>
      </c>
      <c r="B45" t="s" s="17">
        <v>80</v>
      </c>
      <c r="C45" s="18">
        <v>30</v>
      </c>
      <c r="D45" t="s" s="17">
        <v>81</v>
      </c>
      <c r="E45" s="18"/>
      <c r="F45" t="s" s="17">
        <v>40</v>
      </c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9"/>
    </row>
    <row r="46" ht="13.65" customHeight="1">
      <c r="A46" s="32">
        <v>1.8</v>
      </c>
      <c r="B46" t="s" s="33">
        <v>72</v>
      </c>
      <c r="C46" s="32">
        <v>1500</v>
      </c>
      <c r="D46" t="s" s="33">
        <v>82</v>
      </c>
      <c r="E46" s="9"/>
      <c r="F46" t="s" s="33">
        <v>20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3.65" customHeight="1">
      <c r="A47" s="34"/>
      <c r="B47" t="s" s="35">
        <v>30</v>
      </c>
      <c r="C47" s="34">
        <v>25800</v>
      </c>
      <c r="D47" t="s" s="35">
        <v>83</v>
      </c>
      <c r="E47" s="3"/>
      <c r="F47" t="s" s="35">
        <v>20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3.65" customHeight="1">
      <c r="A48" s="34"/>
      <c r="B48" t="s" s="35">
        <v>28</v>
      </c>
      <c r="C48" s="34">
        <v>7520</v>
      </c>
      <c r="D48" t="s" s="35">
        <v>84</v>
      </c>
      <c r="E48" s="3"/>
      <c r="F48" s="35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3.65" customHeight="1">
      <c r="A49" s="34">
        <v>8.800000000000001</v>
      </c>
      <c r="B49" t="s" s="35">
        <v>23</v>
      </c>
      <c r="C49" s="34">
        <v>400</v>
      </c>
      <c r="D49" t="s" s="35">
        <v>85</v>
      </c>
      <c r="E49" s="3"/>
      <c r="F49" t="s" s="35">
        <v>86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3.65" customHeight="1">
      <c r="A50" s="34"/>
      <c r="B50" t="s" s="35">
        <v>87</v>
      </c>
      <c r="C50" s="34">
        <v>1812</v>
      </c>
      <c r="D50" t="s" s="35">
        <v>85</v>
      </c>
      <c r="E50" s="34">
        <v>505388705</v>
      </c>
      <c r="F50" s="35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3.65" customHeight="1">
      <c r="A51" s="30">
        <v>6.9</v>
      </c>
      <c r="B51" t="s" s="31">
        <v>88</v>
      </c>
      <c r="C51" s="30">
        <v>110</v>
      </c>
      <c r="D51" t="s" s="31">
        <v>89</v>
      </c>
      <c r="E51" s="30"/>
      <c r="F51" t="s" s="31">
        <v>90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3.65" customHeight="1">
      <c r="A52" s="26"/>
      <c r="B52" t="s" s="27">
        <v>91</v>
      </c>
      <c r="C52" s="28">
        <f>SUM(C42:C51)</f>
        <v>73942</v>
      </c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9"/>
    </row>
    <row r="53" ht="13.65" customHeight="1">
      <c r="A53" s="36"/>
      <c r="B53" t="s" s="37">
        <v>92</v>
      </c>
      <c r="C53" s="36">
        <f>C52+C41+C30</f>
        <v>205300</v>
      </c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ht="13.65" customHeight="1">
      <c r="A54" s="38">
        <v>42548</v>
      </c>
      <c r="B54" t="s" s="2">
        <v>23</v>
      </c>
      <c r="C54" s="12">
        <v>683</v>
      </c>
      <c r="D54" t="s" s="2">
        <v>93</v>
      </c>
      <c r="E54" s="3"/>
      <c r="F54" t="s" s="2">
        <v>25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3.65" customHeight="1">
      <c r="A55" s="38">
        <v>42577</v>
      </c>
      <c r="B55" t="s" s="2">
        <v>94</v>
      </c>
      <c r="C55" s="12">
        <v>700</v>
      </c>
      <c r="D55" t="s" s="2">
        <v>95</v>
      </c>
      <c r="E55" s="3"/>
      <c r="F55" t="s" s="2">
        <v>20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3.65" customHeight="1">
      <c r="A56" s="15">
        <v>8.800000000000001</v>
      </c>
      <c r="B56" t="s" s="14">
        <v>23</v>
      </c>
      <c r="C56" s="15">
        <v>148</v>
      </c>
      <c r="D56" t="s" s="14">
        <v>96</v>
      </c>
      <c r="E56" s="4"/>
      <c r="F56" t="s" s="14">
        <v>86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3.65" customHeight="1">
      <c r="A57" s="26"/>
      <c r="B57" t="s" s="27">
        <v>97</v>
      </c>
      <c r="C57" s="28">
        <f>SUM(C54:C55)</f>
        <v>1383</v>
      </c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9"/>
    </row>
    <row r="58" ht="13.65" customHeight="1">
      <c r="A58" s="32">
        <v>1.8</v>
      </c>
      <c r="B58" t="s" s="33">
        <v>98</v>
      </c>
      <c r="C58" s="32">
        <v>22511</v>
      </c>
      <c r="D58" t="s" s="33">
        <v>99</v>
      </c>
      <c r="E58" s="9"/>
      <c r="F58" t="s" s="33">
        <v>34</v>
      </c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3.65" customHeight="1">
      <c r="A59" s="34">
        <v>7.8</v>
      </c>
      <c r="B59" t="s" s="35">
        <v>78</v>
      </c>
      <c r="C59" s="34">
        <v>3400</v>
      </c>
      <c r="D59" t="s" s="35">
        <v>100</v>
      </c>
      <c r="E59" s="3"/>
      <c r="F59" t="s" s="35">
        <v>48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3.65" customHeight="1">
      <c r="A60" s="34">
        <v>14.8</v>
      </c>
      <c r="B60" t="s" s="35">
        <v>101</v>
      </c>
      <c r="C60" s="34">
        <v>400</v>
      </c>
      <c r="D60" t="s" s="35">
        <v>102</v>
      </c>
      <c r="E60" s="3"/>
      <c r="F60" t="s" s="35">
        <v>20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3.65" customHeight="1">
      <c r="A61" s="34">
        <v>19.8</v>
      </c>
      <c r="B61" t="s" s="35">
        <v>23</v>
      </c>
      <c r="C61" s="34">
        <v>5000</v>
      </c>
      <c r="D61" t="s" s="35">
        <v>103</v>
      </c>
      <c r="E61" s="3"/>
      <c r="F61" t="s" s="35">
        <v>104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3.65" customHeight="1">
      <c r="A62" s="34">
        <v>26.8</v>
      </c>
      <c r="B62" t="s" s="35">
        <v>26</v>
      </c>
      <c r="C62" s="34">
        <v>13000</v>
      </c>
      <c r="D62" t="s" s="35">
        <v>105</v>
      </c>
      <c r="E62" s="3"/>
      <c r="F62" t="s" s="35">
        <v>20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3.65" customHeight="1">
      <c r="A63" s="34"/>
      <c r="B63" s="35"/>
      <c r="C63" s="34"/>
      <c r="D63" s="35"/>
      <c r="E63" s="3"/>
      <c r="F63" s="35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3.65" customHeight="1">
      <c r="A64" s="34"/>
      <c r="B64" s="35"/>
      <c r="C64" s="34"/>
      <c r="D64" s="35"/>
      <c r="E64" s="3"/>
      <c r="F64" s="35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3.65" customHeight="1">
      <c r="A65" s="34"/>
      <c r="B65" s="35"/>
      <c r="C65" s="34"/>
      <c r="D65" s="35"/>
      <c r="E65" s="3"/>
      <c r="F65" s="35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3.65" customHeight="1">
      <c r="A66" s="39"/>
      <c r="B66" t="s" s="40">
        <v>106</v>
      </c>
      <c r="C66" s="39">
        <f>SUM(C58:C65)</f>
        <v>44311</v>
      </c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ht="13.6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3.65" customHeight="1">
      <c r="A68" s="41"/>
      <c r="B68" t="s" s="42">
        <v>107</v>
      </c>
      <c r="C68" s="43">
        <f>C41+C30+C21+C52+C57+C66</f>
        <v>295638</v>
      </c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56"/>
  <sheetViews>
    <sheetView workbookViewId="0" showGridLines="0" defaultGridColor="1"/>
  </sheetViews>
  <sheetFormatPr defaultColWidth="14.5" defaultRowHeight="15.75" customHeight="1" outlineLevelRow="0" outlineLevelCol="0"/>
  <cols>
    <col min="1" max="1" width="33.3516" style="45" customWidth="1"/>
    <col min="2" max="2" width="14.5" style="45" customWidth="1"/>
    <col min="3" max="3" width="14.5" style="45" customWidth="1"/>
    <col min="4" max="4" width="14.5" style="45" customWidth="1"/>
    <col min="5" max="5" width="14.5" style="45" customWidth="1"/>
    <col min="6" max="6" width="14.5" style="45" customWidth="1"/>
    <col min="7" max="7" width="14.5" style="45" customWidth="1"/>
    <col min="8" max="8" width="14.5" style="45" customWidth="1"/>
    <col min="9" max="9" width="14.5" style="45" customWidth="1"/>
    <col min="10" max="10" width="14.5" style="45" customWidth="1"/>
    <col min="11" max="256" width="14.5" style="45" customWidth="1"/>
  </cols>
  <sheetData>
    <row r="1" ht="13.65" customHeight="1">
      <c r="A1" t="s" s="2">
        <v>108</v>
      </c>
      <c r="B1" t="s" s="2">
        <v>109</v>
      </c>
      <c r="C1" t="s" s="2">
        <v>110</v>
      </c>
      <c r="D1" s="3"/>
      <c r="E1" s="3"/>
      <c r="F1" s="3"/>
      <c r="G1" t="s" s="35">
        <v>111</v>
      </c>
      <c r="H1" t="s" s="35">
        <v>112</v>
      </c>
      <c r="I1" t="s" s="35">
        <v>113</v>
      </c>
      <c r="J1" s="3"/>
    </row>
    <row r="2" ht="13.65" customHeight="1">
      <c r="A2" s="3"/>
      <c r="B2" s="3"/>
      <c r="C2" s="3"/>
      <c r="D2" s="3"/>
      <c r="E2" t="s" s="2">
        <v>114</v>
      </c>
      <c r="F2" s="3"/>
      <c r="G2" s="3"/>
      <c r="H2" s="3"/>
      <c r="I2" s="3"/>
      <c r="J2" s="3"/>
    </row>
    <row r="3" ht="13.65" customHeight="1">
      <c r="A3" t="s" s="2">
        <v>115</v>
      </c>
      <c r="B3" s="3"/>
      <c r="C3" s="3"/>
      <c r="D3" s="3"/>
      <c r="E3" t="s" s="2">
        <v>116</v>
      </c>
      <c r="F3" s="3"/>
      <c r="G3" t="s" s="35">
        <v>117</v>
      </c>
      <c r="H3" s="34">
        <v>30000</v>
      </c>
      <c r="I3" s="34">
        <v>8000</v>
      </c>
      <c r="J3" s="3"/>
    </row>
    <row r="4" ht="13.65" customHeight="1">
      <c r="A4" t="s" s="2">
        <v>118</v>
      </c>
      <c r="B4" s="3"/>
      <c r="C4" s="3"/>
      <c r="D4" s="3"/>
      <c r="E4" s="12"/>
      <c r="F4" s="3"/>
      <c r="G4" t="s" s="35">
        <v>119</v>
      </c>
      <c r="H4" s="34">
        <v>80000</v>
      </c>
      <c r="I4" s="34">
        <v>120000</v>
      </c>
      <c r="J4" s="3"/>
    </row>
    <row r="5" ht="13.65" customHeight="1">
      <c r="A5" t="s" s="2">
        <v>120</v>
      </c>
      <c r="B5" s="3"/>
      <c r="C5" s="3"/>
      <c r="D5" s="3"/>
      <c r="E5" t="s" s="2">
        <v>121</v>
      </c>
      <c r="F5" s="3"/>
      <c r="G5" t="s" s="35">
        <v>122</v>
      </c>
      <c r="H5" s="34">
        <f>24000+6000</f>
        <v>30000</v>
      </c>
      <c r="I5" s="34">
        <v>40000</v>
      </c>
      <c r="J5" s="3"/>
    </row>
    <row r="6" ht="13.65" customHeight="1">
      <c r="A6" t="s" s="2">
        <v>123</v>
      </c>
      <c r="B6" s="12">
        <v>2.5</v>
      </c>
      <c r="C6" s="3"/>
      <c r="D6" s="3"/>
      <c r="E6" t="s" s="2">
        <v>124</v>
      </c>
      <c r="F6" s="3"/>
      <c r="G6" t="s" s="35">
        <v>125</v>
      </c>
      <c r="H6" s="34">
        <v>1000</v>
      </c>
      <c r="I6" s="34">
        <v>2500</v>
      </c>
      <c r="J6" s="3"/>
    </row>
    <row r="7" ht="13.65" customHeight="1">
      <c r="A7" t="s" s="2">
        <v>126</v>
      </c>
      <c r="B7" s="12">
        <v>10</v>
      </c>
      <c r="C7" s="3"/>
      <c r="D7" s="3"/>
      <c r="E7" t="s" s="2">
        <v>127</v>
      </c>
      <c r="F7" s="3"/>
      <c r="G7" t="s" s="35">
        <v>128</v>
      </c>
      <c r="H7" s="34">
        <v>1750</v>
      </c>
      <c r="I7" s="3"/>
      <c r="J7" s="3"/>
    </row>
    <row r="8" ht="13.65" customHeight="1">
      <c r="A8" t="s" s="2">
        <v>129</v>
      </c>
      <c r="B8" s="12">
        <v>4</v>
      </c>
      <c r="C8" s="3"/>
      <c r="D8" s="3"/>
      <c r="E8" s="3"/>
      <c r="F8" s="3"/>
      <c r="G8" s="3"/>
      <c r="H8" s="3"/>
      <c r="I8" s="3"/>
      <c r="J8" s="3"/>
    </row>
    <row r="9" ht="13.65" customHeight="1">
      <c r="A9" t="s" s="2">
        <v>130</v>
      </c>
      <c r="B9" s="12">
        <v>2</v>
      </c>
      <c r="C9" s="12"/>
      <c r="D9" s="3"/>
      <c r="E9" s="3"/>
      <c r="F9" s="3"/>
      <c r="G9" t="s" s="35">
        <v>131</v>
      </c>
      <c r="H9" s="34">
        <v>2000</v>
      </c>
      <c r="I9" s="34">
        <v>300</v>
      </c>
      <c r="J9" s="3"/>
    </row>
    <row r="10" ht="13.65" customHeight="1">
      <c r="A10" t="s" s="2">
        <v>132</v>
      </c>
      <c r="B10" s="12">
        <v>0.5</v>
      </c>
      <c r="C10" s="12"/>
      <c r="D10" s="3"/>
      <c r="E10" s="3"/>
      <c r="F10" s="3"/>
      <c r="G10" t="s" s="35">
        <v>133</v>
      </c>
      <c r="H10" s="34">
        <f>9*130*14</f>
        <v>16380</v>
      </c>
      <c r="I10" s="3"/>
      <c r="J10" s="3"/>
    </row>
    <row r="11" ht="13.65" customHeight="1">
      <c r="A11" t="s" s="2">
        <v>134</v>
      </c>
      <c r="B11" s="12">
        <f>0.12*(10+10)</f>
        <v>2.4</v>
      </c>
      <c r="C11" s="12"/>
      <c r="D11" s="3"/>
      <c r="E11" s="3"/>
      <c r="F11" s="3"/>
      <c r="G11" t="s" s="35">
        <v>135</v>
      </c>
      <c r="H11" s="34">
        <f>260*40</f>
        <v>10400</v>
      </c>
      <c r="I11" s="34">
        <f>260*100</f>
        <v>26000</v>
      </c>
      <c r="J11" s="3"/>
    </row>
    <row r="12" ht="13.65" customHeight="1">
      <c r="A12" t="s" s="2">
        <v>136</v>
      </c>
      <c r="B12" s="12">
        <v>1</v>
      </c>
      <c r="C12" s="12"/>
      <c r="D12" s="3"/>
      <c r="E12" s="3"/>
      <c r="F12" s="3"/>
      <c r="G12" t="s" s="35">
        <v>137</v>
      </c>
      <c r="H12" s="34">
        <f>230*50</f>
        <v>11500</v>
      </c>
      <c r="I12" s="3"/>
      <c r="J12" s="3"/>
    </row>
    <row r="13" ht="13.65" customHeight="1">
      <c r="A13" t="s" s="2">
        <v>138</v>
      </c>
      <c r="B13" s="12">
        <v>1</v>
      </c>
      <c r="C13" t="s" s="2">
        <v>139</v>
      </c>
      <c r="D13" s="3"/>
      <c r="E13" s="3"/>
      <c r="F13" s="3"/>
      <c r="G13" t="s" s="35">
        <v>140</v>
      </c>
      <c r="H13" s="34">
        <f>50*(30+30+30)</f>
        <v>4500</v>
      </c>
      <c r="I13" s="3"/>
      <c r="J13" s="3"/>
    </row>
    <row r="14" ht="13.65" customHeight="1">
      <c r="A14" t="s" s="2">
        <v>141</v>
      </c>
      <c r="B14" s="12">
        <v>0.2</v>
      </c>
      <c r="C14" s="3"/>
      <c r="D14" s="3"/>
      <c r="E14" s="3"/>
      <c r="F14" s="3"/>
      <c r="G14" t="s" s="35">
        <v>142</v>
      </c>
      <c r="H14" s="34">
        <v>2000</v>
      </c>
      <c r="I14" s="34">
        <v>600</v>
      </c>
      <c r="J14" s="3"/>
    </row>
    <row r="15" ht="13.65" customHeight="1">
      <c r="A15" t="s" s="2">
        <v>143</v>
      </c>
      <c r="B15" s="12">
        <v>1</v>
      </c>
      <c r="C15" s="3"/>
      <c r="D15" s="3"/>
      <c r="E15" s="3"/>
      <c r="F15" s="3"/>
      <c r="G15" t="s" s="35">
        <v>144</v>
      </c>
      <c r="H15" s="34">
        <v>200</v>
      </c>
      <c r="I15" s="34">
        <v>1000</v>
      </c>
      <c r="J15" s="3"/>
    </row>
    <row r="16" ht="13.65" customHeight="1">
      <c r="A16" t="s" s="2">
        <v>145</v>
      </c>
      <c r="B16" s="12">
        <v>2</v>
      </c>
      <c r="C16" s="3"/>
      <c r="D16" s="3"/>
      <c r="E16" s="3"/>
      <c r="F16" s="3"/>
      <c r="G16" t="s" s="35">
        <v>146</v>
      </c>
      <c r="H16" s="34">
        <v>1000</v>
      </c>
      <c r="I16" s="34">
        <v>1000</v>
      </c>
      <c r="J16" s="3"/>
    </row>
    <row r="17" ht="13.65" customHeight="1">
      <c r="A17" t="s" s="2">
        <v>147</v>
      </c>
      <c r="B17" s="12">
        <v>2</v>
      </c>
      <c r="C17" s="3"/>
      <c r="D17" s="3"/>
      <c r="E17" s="3"/>
      <c r="F17" s="3"/>
      <c r="G17" t="s" s="35">
        <v>148</v>
      </c>
      <c r="H17" s="3"/>
      <c r="I17" s="3"/>
      <c r="J17" s="3"/>
    </row>
    <row r="18" ht="13.65" customHeight="1">
      <c r="A18" t="s" s="2">
        <v>149</v>
      </c>
      <c r="B18" s="12">
        <v>1</v>
      </c>
      <c r="C18" s="3"/>
      <c r="D18" s="3"/>
      <c r="E18" s="3"/>
      <c r="F18" s="3"/>
      <c r="G18" t="s" s="35">
        <v>150</v>
      </c>
      <c r="H18" s="3"/>
      <c r="I18" s="3"/>
      <c r="J18" s="3"/>
    </row>
    <row r="19" ht="13.65" customHeight="1">
      <c r="A19" t="s" s="2">
        <v>151</v>
      </c>
      <c r="B19" s="12">
        <v>1</v>
      </c>
      <c r="C19" s="3"/>
      <c r="D19" s="3"/>
      <c r="E19" s="3"/>
      <c r="F19" s="3"/>
      <c r="G19" t="s" s="35">
        <v>152</v>
      </c>
      <c r="H19" s="34">
        <v>3000</v>
      </c>
      <c r="I19" s="34">
        <v>1000</v>
      </c>
      <c r="J19" s="3"/>
    </row>
    <row r="20" ht="13.65" customHeight="1">
      <c r="A20" t="s" s="2">
        <v>144</v>
      </c>
      <c r="B20" s="12">
        <v>1</v>
      </c>
      <c r="C20" s="3"/>
      <c r="D20" s="3"/>
      <c r="E20" s="3"/>
      <c r="F20" s="3"/>
      <c r="G20" s="39"/>
      <c r="H20" s="39">
        <f>SUM(H2:H19)</f>
        <v>193730</v>
      </c>
      <c r="I20" s="39">
        <f>SUM(I2:I19)</f>
        <v>200400</v>
      </c>
      <c r="J20" s="39">
        <f>H20+I20</f>
        <v>394130</v>
      </c>
    </row>
    <row r="21" ht="13.65" customHeight="1">
      <c r="A21" t="s" s="2">
        <v>153</v>
      </c>
      <c r="B21" s="12">
        <v>8</v>
      </c>
      <c r="C21" s="3"/>
      <c r="D21" s="3"/>
      <c r="E21" s="3"/>
      <c r="F21" s="3"/>
      <c r="G21" s="3"/>
      <c r="H21" s="3"/>
      <c r="I21" s="3"/>
      <c r="J21" s="3"/>
    </row>
    <row r="22" ht="13.65" customHeight="1">
      <c r="A22" t="s" s="2">
        <v>154</v>
      </c>
      <c r="B22" s="12">
        <v>2</v>
      </c>
      <c r="C22" s="3"/>
      <c r="D22" s="3"/>
      <c r="E22" s="3"/>
      <c r="F22" s="3"/>
      <c r="G22" s="3"/>
      <c r="H22" s="3"/>
      <c r="I22" s="3"/>
      <c r="J22" s="3"/>
    </row>
    <row r="23" ht="13.65" customHeight="1">
      <c r="A23" s="12"/>
      <c r="B23" s="3"/>
      <c r="C23" s="3"/>
      <c r="D23" s="3"/>
      <c r="E23" s="3"/>
      <c r="F23" s="3"/>
      <c r="G23" s="3"/>
      <c r="H23" s="3"/>
      <c r="I23" s="3"/>
      <c r="J23" s="3"/>
    </row>
    <row r="24" ht="13.65" customHeight="1">
      <c r="A24" t="s" s="2">
        <v>155</v>
      </c>
      <c r="B24" s="12">
        <v>1</v>
      </c>
      <c r="C24" s="3"/>
      <c r="D24" s="3"/>
      <c r="E24" s="3"/>
      <c r="F24" s="3"/>
      <c r="G24" s="3"/>
      <c r="H24" s="3"/>
      <c r="I24" s="3"/>
      <c r="J24" s="3"/>
    </row>
    <row r="25" ht="13.65" customHeight="1">
      <c r="A25" t="s" s="2">
        <v>156</v>
      </c>
      <c r="B25" s="12">
        <v>2</v>
      </c>
      <c r="C25" s="3"/>
      <c r="D25" s="3"/>
      <c r="E25" s="3"/>
      <c r="F25" s="3"/>
      <c r="G25" s="3"/>
      <c r="H25" s="3"/>
      <c r="I25" s="3"/>
      <c r="J25" s="3"/>
    </row>
    <row r="26" ht="13.65" customHeight="1">
      <c r="A26" t="s" s="2">
        <v>157</v>
      </c>
      <c r="B26" s="12">
        <v>4</v>
      </c>
      <c r="C26" s="3"/>
      <c r="D26" s="3"/>
      <c r="E26" s="3"/>
      <c r="F26" s="3"/>
      <c r="G26" s="3"/>
      <c r="H26" s="3"/>
      <c r="I26" s="3"/>
      <c r="J26" s="3"/>
    </row>
    <row r="27" ht="13.65" customHeight="1">
      <c r="A27" s="3"/>
      <c r="B27" s="3"/>
      <c r="C27" s="3"/>
      <c r="D27" s="3"/>
      <c r="E27" s="3"/>
      <c r="F27" s="3"/>
      <c r="G27" s="3"/>
      <c r="H27" s="3"/>
      <c r="I27" s="3"/>
      <c r="J27" s="3"/>
    </row>
    <row r="28" ht="13.65" customHeight="1">
      <c r="A28" t="s" s="2">
        <v>158</v>
      </c>
      <c r="B28" s="12">
        <v>17</v>
      </c>
      <c r="C28" t="s" s="2">
        <v>159</v>
      </c>
      <c r="D28" s="3"/>
      <c r="E28" s="3"/>
      <c r="F28" s="3"/>
      <c r="G28" s="3"/>
      <c r="H28" s="3"/>
      <c r="I28" s="3"/>
      <c r="J28" s="3"/>
    </row>
    <row r="29" ht="13.65" customHeight="1">
      <c r="A29" t="s" s="2">
        <v>160</v>
      </c>
      <c r="B29" s="12">
        <v>12</v>
      </c>
      <c r="C29" s="3"/>
      <c r="D29" s="3"/>
      <c r="E29" s="3"/>
      <c r="F29" s="3"/>
      <c r="G29" s="3"/>
      <c r="H29" s="3"/>
      <c r="I29" s="3"/>
      <c r="J29" s="3"/>
    </row>
    <row r="30" ht="13.65" customHeight="1">
      <c r="A30" t="s" s="2">
        <v>161</v>
      </c>
      <c r="B30" s="12">
        <v>14</v>
      </c>
      <c r="C30" s="3"/>
      <c r="D30" s="3"/>
      <c r="E30" s="3"/>
      <c r="F30" s="3"/>
      <c r="G30" s="3"/>
      <c r="H30" s="3"/>
      <c r="I30" s="3"/>
      <c r="J30" s="3"/>
    </row>
    <row r="31" ht="13.65" customHeight="1">
      <c r="A31" t="s" s="2">
        <v>162</v>
      </c>
      <c r="B31" s="12">
        <v>8</v>
      </c>
      <c r="C31" s="3"/>
      <c r="D31" s="3"/>
      <c r="E31" s="3"/>
      <c r="F31" s="3"/>
      <c r="G31" s="3"/>
      <c r="H31" s="3"/>
      <c r="I31" s="3"/>
      <c r="J31" s="3"/>
    </row>
    <row r="32" ht="13.65" customHeight="1">
      <c r="A32" t="s" s="2">
        <v>163</v>
      </c>
      <c r="B32" s="12">
        <v>2</v>
      </c>
      <c r="C32" s="3"/>
      <c r="D32" s="3"/>
      <c r="E32" s="3"/>
      <c r="F32" s="3"/>
      <c r="G32" s="3"/>
      <c r="H32" s="3"/>
      <c r="I32" s="3"/>
      <c r="J32" s="3"/>
    </row>
    <row r="33" ht="13.65" customHeight="1">
      <c r="A33" t="s" s="2">
        <v>164</v>
      </c>
      <c r="B33" s="12">
        <v>0.5</v>
      </c>
      <c r="C33" s="3"/>
      <c r="D33" s="3"/>
      <c r="E33" s="3"/>
      <c r="F33" s="3"/>
      <c r="G33" s="3"/>
      <c r="H33" s="3"/>
      <c r="I33" s="3"/>
      <c r="J33" s="3"/>
    </row>
    <row r="34" ht="13.65" customHeight="1">
      <c r="A34" t="s" s="2">
        <v>165</v>
      </c>
      <c r="B34" s="12">
        <v>0.5</v>
      </c>
      <c r="C34" s="3"/>
      <c r="D34" s="3"/>
      <c r="E34" s="3"/>
      <c r="F34" s="3"/>
      <c r="G34" s="3"/>
      <c r="H34" s="3"/>
      <c r="I34" s="3"/>
      <c r="J34" s="3"/>
    </row>
    <row r="35" ht="13.65" customHeight="1">
      <c r="A35" t="s" s="2">
        <v>166</v>
      </c>
      <c r="B35" s="12">
        <v>6</v>
      </c>
      <c r="C35" s="3"/>
      <c r="D35" s="3"/>
      <c r="E35" s="3"/>
      <c r="F35" s="3"/>
      <c r="G35" s="3"/>
      <c r="H35" s="3"/>
      <c r="I35" s="3"/>
      <c r="J35" s="3"/>
    </row>
    <row r="36" ht="13.65" customHeight="1">
      <c r="A36" t="s" s="2">
        <v>167</v>
      </c>
      <c r="B36" s="12">
        <v>20</v>
      </c>
      <c r="C36" s="3"/>
      <c r="D36" s="3"/>
      <c r="E36" s="3"/>
      <c r="F36" s="3"/>
      <c r="G36" s="3"/>
      <c r="H36" s="3"/>
      <c r="I36" s="3"/>
      <c r="J36" s="3"/>
    </row>
    <row r="37" ht="13.65" customHeight="1">
      <c r="A37" t="s" s="2">
        <v>168</v>
      </c>
      <c r="B37" s="12">
        <v>3</v>
      </c>
      <c r="C37" s="3"/>
      <c r="D37" s="3"/>
      <c r="E37" s="3"/>
      <c r="F37" s="3"/>
      <c r="G37" s="3"/>
      <c r="H37" s="3"/>
      <c r="I37" s="3"/>
      <c r="J37" s="3"/>
    </row>
    <row r="38" ht="13.65" customHeight="1">
      <c r="A38" t="s" s="2">
        <v>169</v>
      </c>
      <c r="B38" s="12"/>
      <c r="C38" s="3"/>
      <c r="D38" s="3"/>
      <c r="E38" s="3"/>
      <c r="F38" s="3"/>
      <c r="G38" s="3"/>
      <c r="H38" s="3"/>
      <c r="I38" s="3"/>
      <c r="J38" s="3"/>
    </row>
    <row r="39" ht="13.65" customHeight="1">
      <c r="A39" t="s" s="2">
        <v>170</v>
      </c>
      <c r="B39" s="12">
        <v>10</v>
      </c>
      <c r="C39" s="3"/>
      <c r="D39" s="3"/>
      <c r="E39" s="3"/>
      <c r="F39" s="3"/>
      <c r="G39" s="3"/>
      <c r="H39" s="3"/>
      <c r="I39" s="3"/>
      <c r="J39" s="3"/>
    </row>
    <row r="40" ht="13.65" customHeight="1">
      <c r="A40" t="s" s="2">
        <v>171</v>
      </c>
      <c r="B40" s="12">
        <v>6</v>
      </c>
      <c r="C40" s="3"/>
      <c r="D40" s="3"/>
      <c r="E40" s="3"/>
      <c r="F40" s="3"/>
      <c r="G40" s="3"/>
      <c r="H40" s="3"/>
      <c r="I40" s="3"/>
      <c r="J40" s="3"/>
    </row>
    <row r="41" ht="13.65" customHeight="1">
      <c r="A41" t="s" s="2">
        <v>172</v>
      </c>
      <c r="B41" s="12">
        <v>4</v>
      </c>
      <c r="C41" s="3"/>
      <c r="D41" s="3"/>
      <c r="E41" s="3"/>
      <c r="F41" s="3"/>
      <c r="G41" s="3"/>
      <c r="H41" s="3"/>
      <c r="I41" s="3"/>
      <c r="J41" s="3"/>
    </row>
    <row r="42" ht="13.65" customHeight="1">
      <c r="A42" t="s" s="2">
        <v>173</v>
      </c>
      <c r="B42" s="12">
        <v>2</v>
      </c>
      <c r="C42" s="3"/>
      <c r="D42" s="3"/>
      <c r="E42" s="3"/>
      <c r="F42" s="3"/>
      <c r="G42" s="3"/>
      <c r="H42" s="3"/>
      <c r="I42" s="3"/>
      <c r="J42" s="3"/>
    </row>
    <row r="43" ht="13.65" customHeight="1">
      <c r="A43" t="s" s="2">
        <v>174</v>
      </c>
      <c r="B43" s="12">
        <v>6</v>
      </c>
      <c r="C43" s="3"/>
      <c r="D43" s="3"/>
      <c r="E43" s="3"/>
      <c r="F43" s="3"/>
      <c r="G43" s="3"/>
      <c r="H43" s="3"/>
      <c r="I43" s="3"/>
      <c r="J43" s="3"/>
    </row>
    <row r="44" ht="13.65" customHeight="1">
      <c r="A44" t="s" s="2">
        <v>175</v>
      </c>
      <c r="B44" s="12">
        <v>6</v>
      </c>
      <c r="C44" s="3"/>
      <c r="D44" s="3"/>
      <c r="E44" s="3"/>
      <c r="F44" s="3"/>
      <c r="G44" s="3"/>
      <c r="H44" s="3"/>
      <c r="I44" s="3"/>
      <c r="J44" s="3"/>
    </row>
    <row r="45" ht="13.65" customHeight="1">
      <c r="A45" t="s" s="2">
        <v>176</v>
      </c>
      <c r="B45" s="12">
        <v>4</v>
      </c>
      <c r="C45" s="3"/>
      <c r="D45" s="3"/>
      <c r="E45" s="3"/>
      <c r="F45" s="3"/>
      <c r="G45" s="3"/>
      <c r="H45" s="3"/>
      <c r="I45" s="3"/>
      <c r="J45" s="3"/>
    </row>
    <row r="46" ht="13.65" customHeight="1">
      <c r="A46" t="s" s="2">
        <v>177</v>
      </c>
      <c r="B46" s="12">
        <v>1.5</v>
      </c>
      <c r="C46" s="3"/>
      <c r="D46" s="3"/>
      <c r="E46" s="3"/>
      <c r="F46" s="3"/>
      <c r="G46" s="3"/>
      <c r="H46" s="3"/>
      <c r="I46" s="3"/>
      <c r="J46" s="3"/>
    </row>
    <row r="47" ht="13.65" customHeight="1">
      <c r="A47" t="s" s="2">
        <v>19</v>
      </c>
      <c r="B47" s="12">
        <v>2</v>
      </c>
      <c r="C47" s="3"/>
      <c r="D47" s="3"/>
      <c r="E47" s="3"/>
      <c r="F47" s="3"/>
      <c r="G47" s="3"/>
      <c r="H47" s="3"/>
      <c r="I47" s="3"/>
      <c r="J47" s="3"/>
    </row>
    <row r="48" ht="13.65" customHeight="1">
      <c r="A48" t="s" s="2">
        <v>144</v>
      </c>
      <c r="B48" s="12">
        <v>1</v>
      </c>
      <c r="C48" s="3"/>
      <c r="D48" s="3"/>
      <c r="E48" s="3"/>
      <c r="F48" s="3"/>
      <c r="G48" s="3"/>
      <c r="H48" s="3"/>
      <c r="I48" s="3"/>
      <c r="J48" s="3"/>
    </row>
    <row r="49" ht="13.65" customHeight="1">
      <c r="A49" t="s" s="2">
        <v>178</v>
      </c>
      <c r="B49" s="12">
        <v>2</v>
      </c>
      <c r="C49" s="3"/>
      <c r="D49" s="3"/>
      <c r="E49" s="3"/>
      <c r="F49" s="3"/>
      <c r="G49" s="3"/>
      <c r="H49" s="3"/>
      <c r="I49" s="3"/>
      <c r="J49" s="3"/>
    </row>
    <row r="50" ht="13.65" customHeight="1">
      <c r="A50" t="s" s="2">
        <v>179</v>
      </c>
      <c r="B50" s="3"/>
      <c r="C50" s="3"/>
      <c r="D50" s="3"/>
      <c r="E50" s="3"/>
      <c r="F50" s="3"/>
      <c r="G50" s="3"/>
      <c r="H50" s="3"/>
      <c r="I50" s="3"/>
      <c r="J50" s="3"/>
    </row>
    <row r="51" ht="13.65" customHeight="1">
      <c r="A51" t="s" s="2">
        <v>180</v>
      </c>
      <c r="B51" s="12">
        <v>2</v>
      </c>
      <c r="C51" s="3"/>
      <c r="D51" s="3"/>
      <c r="E51" s="3"/>
      <c r="F51" s="3"/>
      <c r="G51" s="3"/>
      <c r="H51" s="3"/>
      <c r="I51" s="3"/>
      <c r="J51" s="3"/>
    </row>
    <row r="52" ht="13.65" customHeight="1">
      <c r="A52" s="3"/>
      <c r="B52" s="3"/>
      <c r="C52" s="3"/>
      <c r="D52" s="3"/>
      <c r="E52" s="3"/>
      <c r="F52" s="3"/>
      <c r="G52" s="3"/>
      <c r="H52" s="3"/>
      <c r="I52" s="3"/>
      <c r="J52" s="3"/>
    </row>
    <row r="53" ht="13.65" customHeight="1">
      <c r="A53" s="3"/>
      <c r="B53" s="3"/>
      <c r="C53" s="3"/>
      <c r="D53" s="3"/>
      <c r="E53" s="3"/>
      <c r="F53" s="3"/>
      <c r="G53" s="3"/>
      <c r="H53" s="3"/>
      <c r="I53" s="3"/>
      <c r="J53" s="3"/>
    </row>
    <row r="54" ht="13.65" customHeight="1">
      <c r="A54" s="3"/>
      <c r="B54" s="3"/>
      <c r="C54" s="3"/>
      <c r="D54" s="3"/>
      <c r="E54" s="3"/>
      <c r="F54" s="3"/>
      <c r="G54" s="3"/>
      <c r="H54" s="3"/>
      <c r="I54" s="3"/>
      <c r="J54" s="3"/>
    </row>
    <row r="55" ht="13.65" customHeight="1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ht="13.65" customHeight="1">
      <c r="A56" t="s" s="46">
        <v>107</v>
      </c>
      <c r="B56" s="47">
        <f>SUM(B3:B55)</f>
        <v>178.1</v>
      </c>
      <c r="C56" s="47"/>
      <c r="D56" s="47"/>
      <c r="E56" s="47"/>
      <c r="F56" s="47"/>
      <c r="G56" s="47"/>
      <c r="H56" s="47"/>
      <c r="I56" s="47"/>
      <c r="J56" s="4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T51"/>
  <sheetViews>
    <sheetView workbookViewId="0" showGridLines="0" defaultGridColor="1"/>
  </sheetViews>
  <sheetFormatPr defaultColWidth="14.5" defaultRowHeight="15.75" customHeight="1" outlineLevelRow="0" outlineLevelCol="0"/>
  <cols>
    <col min="1" max="1" width="14.5" style="49" customWidth="1"/>
    <col min="2" max="2" width="14.5" style="49" customWidth="1"/>
    <col min="3" max="3" width="30.1719" style="49" customWidth="1"/>
    <col min="4" max="4" width="14.5" style="49" customWidth="1"/>
    <col min="5" max="5" width="14.5" style="49" customWidth="1"/>
    <col min="6" max="6" width="14.5" style="49" customWidth="1"/>
    <col min="7" max="7" width="14.5" style="49" customWidth="1"/>
    <col min="8" max="8" width="14.5" style="49" customWidth="1"/>
    <col min="9" max="9" width="14.5" style="49" customWidth="1"/>
    <col min="10" max="10" width="14.5" style="49" customWidth="1"/>
    <col min="11" max="11" width="14.5" style="49" customWidth="1"/>
    <col min="12" max="12" width="14.5" style="49" customWidth="1"/>
    <col min="13" max="13" width="14.5" style="49" customWidth="1"/>
    <col min="14" max="14" width="14.5" style="49" customWidth="1"/>
    <col min="15" max="15" width="14.5" style="49" customWidth="1"/>
    <col min="16" max="16" width="14.5" style="49" customWidth="1"/>
    <col min="17" max="17" width="14.5" style="49" customWidth="1"/>
    <col min="18" max="18" width="14.5" style="49" customWidth="1"/>
    <col min="19" max="19" width="21.5" style="49" customWidth="1"/>
    <col min="20" max="20" width="14.5" style="49" customWidth="1"/>
    <col min="21" max="21" width="14.5" style="49" customWidth="1"/>
    <col min="22" max="22" width="14.5" style="49" customWidth="1"/>
    <col min="23" max="23" width="14.5" style="49" customWidth="1"/>
    <col min="24" max="24" width="14.5" style="49" customWidth="1"/>
    <col min="25" max="25" width="14.5" style="49" customWidth="1"/>
    <col min="26" max="26" width="14.5" style="49" customWidth="1"/>
    <col min="27" max="27" width="14.5" style="49" customWidth="1"/>
    <col min="28" max="28" width="14.5" style="49" customWidth="1"/>
    <col min="29" max="29" width="14.5" style="49" customWidth="1"/>
    <col min="30" max="30" width="14.5" style="49" customWidth="1"/>
    <col min="31" max="31" width="14.5" style="49" customWidth="1"/>
    <col min="32" max="32" width="14.5" style="49" customWidth="1"/>
    <col min="33" max="33" width="14.5" style="49" customWidth="1"/>
    <col min="34" max="34" width="14.5" style="49" customWidth="1"/>
    <col min="35" max="35" width="14.5" style="49" customWidth="1"/>
    <col min="36" max="36" width="14.5" style="49" customWidth="1"/>
    <col min="37" max="37" width="14.5" style="49" customWidth="1"/>
    <col min="38" max="38" width="14.5" style="49" customWidth="1"/>
    <col min="39" max="39" width="14.5" style="49" customWidth="1"/>
    <col min="40" max="40" width="14.5" style="49" customWidth="1"/>
    <col min="41" max="41" width="14.5" style="49" customWidth="1"/>
    <col min="42" max="42" width="14.5" style="49" customWidth="1"/>
    <col min="43" max="43" width="14.5" style="49" customWidth="1"/>
    <col min="44" max="44" width="14.5" style="49" customWidth="1"/>
    <col min="45" max="45" width="14.5" style="49" customWidth="1"/>
    <col min="46" max="46" width="14.5" style="49" customWidth="1"/>
    <col min="47" max="256" width="14.5" style="49" customWidth="1"/>
  </cols>
  <sheetData>
    <row r="1" ht="13.6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t="s" s="2">
        <v>181</v>
      </c>
      <c r="T1" s="3"/>
      <c r="U1" s="3"/>
      <c r="V1" s="50"/>
      <c r="W1" t="s" s="51">
        <v>182</v>
      </c>
      <c r="X1" s="52"/>
      <c r="Y1" s="53"/>
      <c r="Z1" s="54"/>
      <c r="AA1" t="s" s="2">
        <v>183</v>
      </c>
      <c r="AB1" s="3"/>
      <c r="AC1" s="3"/>
      <c r="AD1" s="3"/>
      <c r="AE1" s="3"/>
      <c r="AF1" t="s" s="2">
        <v>184</v>
      </c>
      <c r="AG1" s="3"/>
      <c r="AH1" s="3"/>
      <c r="AI1" s="3"/>
      <c r="AJ1" s="3"/>
      <c r="AK1" t="s" s="2">
        <v>185</v>
      </c>
      <c r="AL1" s="3"/>
      <c r="AM1" s="3"/>
      <c r="AN1" s="3"/>
      <c r="AO1" s="3"/>
      <c r="AP1" s="3"/>
      <c r="AQ1" s="3"/>
      <c r="AR1" s="3"/>
      <c r="AS1" s="3"/>
      <c r="AT1" s="3"/>
    </row>
    <row r="2" ht="13.65" customHeight="1">
      <c r="A2" s="3"/>
      <c r="B2" s="12"/>
      <c r="C2" s="12"/>
      <c r="D2" t="s" s="2">
        <v>133</v>
      </c>
      <c r="E2" s="3"/>
      <c r="F2" s="3"/>
      <c r="G2" s="3"/>
      <c r="H2" s="12"/>
      <c r="I2" t="s" s="2">
        <v>186</v>
      </c>
      <c r="J2" t="s" s="2">
        <v>187</v>
      </c>
      <c r="K2" s="3"/>
      <c r="L2" s="3"/>
      <c r="M2" s="3"/>
      <c r="N2" s="3"/>
      <c r="O2" t="s" s="2">
        <v>188</v>
      </c>
      <c r="P2" t="s" s="2">
        <v>189</v>
      </c>
      <c r="Q2" t="s" s="2">
        <v>190</v>
      </c>
      <c r="R2" s="3"/>
      <c r="S2" s="12"/>
      <c r="T2" t="s" s="2">
        <v>189</v>
      </c>
      <c r="U2" t="s" s="2">
        <v>190</v>
      </c>
      <c r="V2" s="50"/>
      <c r="W2" s="55"/>
      <c r="X2" t="s" s="56">
        <v>189</v>
      </c>
      <c r="Y2" t="s" s="57">
        <v>190</v>
      </c>
      <c r="Z2" s="54"/>
      <c r="AA2" s="12"/>
      <c r="AB2" t="s" s="2">
        <v>189</v>
      </c>
      <c r="AC2" t="s" s="2">
        <v>190</v>
      </c>
      <c r="AD2" s="3"/>
      <c r="AE2" s="3"/>
      <c r="AF2" s="12"/>
      <c r="AG2" t="s" s="2">
        <v>189</v>
      </c>
      <c r="AH2" t="s" s="2">
        <v>190</v>
      </c>
      <c r="AI2" s="3"/>
      <c r="AJ2" s="3"/>
      <c r="AK2" s="12"/>
      <c r="AL2" t="s" s="2">
        <v>189</v>
      </c>
      <c r="AM2" t="s" s="2">
        <v>190</v>
      </c>
      <c r="AN2" s="3"/>
      <c r="AO2" s="3"/>
      <c r="AP2" t="s" s="2">
        <v>184</v>
      </c>
      <c r="AQ2" s="3"/>
      <c r="AR2" s="3"/>
      <c r="AS2" s="3"/>
      <c r="AT2" s="3"/>
    </row>
    <row r="3" ht="13.65" customHeight="1">
      <c r="A3" t="s" s="2">
        <v>191</v>
      </c>
      <c r="B3" s="12">
        <f>63*1.17</f>
        <v>73.70999999999999</v>
      </c>
      <c r="C3" t="s" s="2">
        <v>112</v>
      </c>
      <c r="D3" s="12">
        <f>350*B3</f>
        <v>25798.5</v>
      </c>
      <c r="E3" s="3"/>
      <c r="F3" t="s" s="2">
        <v>192</v>
      </c>
      <c r="G3" s="12"/>
      <c r="H3" t="s" s="2">
        <v>193</v>
      </c>
      <c r="I3" s="12">
        <f>350*L5</f>
        <v>42000</v>
      </c>
      <c r="J3" s="12">
        <f>350*34</f>
        <v>11900</v>
      </c>
      <c r="K3" t="s" s="2">
        <v>194</v>
      </c>
      <c r="L3" s="3"/>
      <c r="M3" s="3"/>
      <c r="N3" s="3"/>
      <c r="O3" t="s" s="2">
        <v>195</v>
      </c>
      <c r="P3" s="12">
        <v>34</v>
      </c>
      <c r="Q3" s="12">
        <f>P3*350</f>
        <v>11900</v>
      </c>
      <c r="R3" s="3"/>
      <c r="S3" t="s" s="2">
        <v>195</v>
      </c>
      <c r="T3" s="12">
        <v>34</v>
      </c>
      <c r="U3" s="12">
        <f>T3*330</f>
        <v>11220</v>
      </c>
      <c r="V3" s="50"/>
      <c r="W3" t="s" s="58">
        <v>195</v>
      </c>
      <c r="X3" s="59">
        <v>34</v>
      </c>
      <c r="Y3" s="60">
        <f>X3*330</f>
        <v>11220</v>
      </c>
      <c r="Z3" s="54"/>
      <c r="AA3" t="s" s="2">
        <v>195</v>
      </c>
      <c r="AB3" s="12">
        <v>34</v>
      </c>
      <c r="AC3" s="12">
        <f>AB3*330</f>
        <v>11220</v>
      </c>
      <c r="AD3" s="3"/>
      <c r="AE3" s="3"/>
      <c r="AF3" t="s" s="2">
        <v>195</v>
      </c>
      <c r="AG3" s="12">
        <v>34</v>
      </c>
      <c r="AH3" s="12">
        <f>AG3*330</f>
        <v>11220</v>
      </c>
      <c r="AI3" s="3"/>
      <c r="AJ3" s="3"/>
      <c r="AK3" t="s" s="2">
        <v>195</v>
      </c>
      <c r="AL3" s="12">
        <v>34</v>
      </c>
      <c r="AM3" s="12">
        <f>AL3*330</f>
        <v>11220</v>
      </c>
      <c r="AN3" s="3"/>
      <c r="AO3" s="3"/>
      <c r="AP3" s="12"/>
      <c r="AQ3" t="s" s="2">
        <v>189</v>
      </c>
      <c r="AR3" t="s" s="2">
        <v>190</v>
      </c>
      <c r="AS3" s="3"/>
      <c r="AT3" s="3"/>
    </row>
    <row r="4" ht="13.65" customHeight="1">
      <c r="A4" s="3"/>
      <c r="B4" s="3"/>
      <c r="C4" t="s" s="2">
        <v>196</v>
      </c>
      <c r="D4" s="12">
        <v>3000</v>
      </c>
      <c r="E4" s="3"/>
      <c r="F4" s="12"/>
      <c r="G4" s="12"/>
      <c r="H4" t="s" s="2">
        <v>197</v>
      </c>
      <c r="I4" s="12">
        <v>3500</v>
      </c>
      <c r="J4" s="12">
        <f>4*350</f>
        <v>1400</v>
      </c>
      <c r="K4" t="s" s="2">
        <v>198</v>
      </c>
      <c r="L4" s="12">
        <v>480</v>
      </c>
      <c r="M4" s="3"/>
      <c r="N4" s="3"/>
      <c r="O4" t="s" s="2">
        <v>199</v>
      </c>
      <c r="P4" s="12">
        <v>4</v>
      </c>
      <c r="Q4" s="12">
        <f>P4*350</f>
        <v>1400</v>
      </c>
      <c r="R4" s="3"/>
      <c r="S4" t="s" s="2">
        <v>199</v>
      </c>
      <c r="T4" s="12">
        <v>4</v>
      </c>
      <c r="U4" s="12">
        <f>T4*330</f>
        <v>1320</v>
      </c>
      <c r="V4" s="50"/>
      <c r="W4" t="s" s="58">
        <v>199</v>
      </c>
      <c r="X4" s="59">
        <v>4</v>
      </c>
      <c r="Y4" s="60">
        <f>X4*330</f>
        <v>1320</v>
      </c>
      <c r="Z4" s="54"/>
      <c r="AA4" t="s" s="2">
        <v>199</v>
      </c>
      <c r="AB4" s="12">
        <v>4</v>
      </c>
      <c r="AC4" s="12">
        <f>AB4*350</f>
        <v>1400</v>
      </c>
      <c r="AD4" s="3"/>
      <c r="AE4" s="3"/>
      <c r="AF4" t="s" s="2">
        <v>199</v>
      </c>
      <c r="AG4" s="12">
        <v>4</v>
      </c>
      <c r="AH4" s="12">
        <f>AG4*330</f>
        <v>1320</v>
      </c>
      <c r="AI4" s="3"/>
      <c r="AJ4" s="3"/>
      <c r="AK4" t="s" s="2">
        <v>199</v>
      </c>
      <c r="AL4" s="12">
        <v>4</v>
      </c>
      <c r="AM4" s="12">
        <f>AL4*350</f>
        <v>1400</v>
      </c>
      <c r="AN4" s="3"/>
      <c r="AO4" s="3"/>
      <c r="AP4" t="s" s="2">
        <v>195</v>
      </c>
      <c r="AQ4" s="12">
        <v>34</v>
      </c>
      <c r="AR4" s="12">
        <f>AQ4*330</f>
        <v>11220</v>
      </c>
      <c r="AS4" s="3"/>
      <c r="AT4" s="3"/>
    </row>
    <row r="5" ht="13.65" customHeight="1">
      <c r="A5" s="3"/>
      <c r="B5" s="3"/>
      <c r="C5" t="s" s="2">
        <v>200</v>
      </c>
      <c r="D5" s="12">
        <v>25000</v>
      </c>
      <c r="E5" s="3"/>
      <c r="F5" t="s" s="2">
        <v>201</v>
      </c>
      <c r="G5" s="12">
        <v>13</v>
      </c>
      <c r="H5" t="s" s="2">
        <v>202</v>
      </c>
      <c r="I5" s="12">
        <f>2000*G5</f>
        <v>26000</v>
      </c>
      <c r="J5" s="3"/>
      <c r="K5" t="s" s="2">
        <v>203</v>
      </c>
      <c r="L5" s="12">
        <f>L4/4</f>
        <v>120</v>
      </c>
      <c r="M5" s="3"/>
      <c r="N5" s="3"/>
      <c r="O5" t="s" s="2">
        <v>204</v>
      </c>
      <c r="P5" s="12">
        <v>110</v>
      </c>
      <c r="Q5" s="12">
        <f>P5*350</f>
        <v>38500</v>
      </c>
      <c r="R5" s="3"/>
      <c r="S5" t="s" s="2">
        <v>204</v>
      </c>
      <c r="T5" s="12">
        <v>110</v>
      </c>
      <c r="U5" s="12">
        <f>T5*330</f>
        <v>36300</v>
      </c>
      <c r="V5" s="50"/>
      <c r="W5" t="s" s="58">
        <v>204</v>
      </c>
      <c r="X5" s="59">
        <v>110</v>
      </c>
      <c r="Y5" s="60">
        <f>X5*330</f>
        <v>36300</v>
      </c>
      <c r="Z5" s="54"/>
      <c r="AA5" t="s" s="2">
        <v>204</v>
      </c>
      <c r="AB5" s="12">
        <v>110</v>
      </c>
      <c r="AC5" s="12">
        <f>AB5*350</f>
        <v>38500</v>
      </c>
      <c r="AD5" s="3"/>
      <c r="AE5" s="3"/>
      <c r="AF5" t="s" s="2">
        <v>204</v>
      </c>
      <c r="AG5" s="12">
        <v>110</v>
      </c>
      <c r="AH5" s="12">
        <f>AG5*330</f>
        <v>36300</v>
      </c>
      <c r="AI5" s="3"/>
      <c r="AJ5" s="3"/>
      <c r="AK5" t="s" s="2">
        <v>204</v>
      </c>
      <c r="AL5" s="12">
        <v>110</v>
      </c>
      <c r="AM5" s="12">
        <f>AL5*350</f>
        <v>38500</v>
      </c>
      <c r="AN5" s="3"/>
      <c r="AO5" s="3"/>
      <c r="AP5" t="s" s="2">
        <v>199</v>
      </c>
      <c r="AQ5" s="12">
        <v>4</v>
      </c>
      <c r="AR5" s="12">
        <f>AQ5*330</f>
        <v>1320</v>
      </c>
      <c r="AS5" s="3"/>
      <c r="AT5" s="3"/>
    </row>
    <row r="6" ht="13.65" customHeight="1">
      <c r="A6" s="3"/>
      <c r="B6" s="3"/>
      <c r="C6" s="12"/>
      <c r="D6" s="12"/>
      <c r="E6" s="3"/>
      <c r="F6" s="12"/>
      <c r="G6" s="12"/>
      <c r="H6" s="12"/>
      <c r="I6" s="3"/>
      <c r="J6" s="3"/>
      <c r="K6" s="3"/>
      <c r="L6" s="3"/>
      <c r="M6" s="3"/>
      <c r="N6" s="3"/>
      <c r="O6" t="s" s="2">
        <v>205</v>
      </c>
      <c r="P6" s="12">
        <f>30*1.17</f>
        <v>35.09999999999999</v>
      </c>
      <c r="Q6" s="12">
        <f>P6*350</f>
        <v>12285</v>
      </c>
      <c r="R6" s="3"/>
      <c r="S6" t="s" s="2">
        <v>206</v>
      </c>
      <c r="T6" s="12">
        <f t="shared" si="29" ref="T6:AQ7">26*1.17</f>
        <v>30.42</v>
      </c>
      <c r="U6" s="12">
        <f>T6*330</f>
        <v>10038.6</v>
      </c>
      <c r="V6" s="50"/>
      <c r="W6" t="s" s="58">
        <v>206</v>
      </c>
      <c r="X6" s="59">
        <f t="shared" si="29"/>
        <v>30.42</v>
      </c>
      <c r="Y6" s="60">
        <f>X6*330</f>
        <v>10038.6</v>
      </c>
      <c r="Z6" s="54"/>
      <c r="AA6" t="s" s="2">
        <v>206</v>
      </c>
      <c r="AB6" s="12">
        <f t="shared" si="29"/>
        <v>30.42</v>
      </c>
      <c r="AC6" s="12">
        <f>AB6*350</f>
        <v>10647</v>
      </c>
      <c r="AD6" s="3"/>
      <c r="AE6" s="3"/>
      <c r="AF6" t="s" s="2">
        <v>206</v>
      </c>
      <c r="AG6" s="12">
        <f t="shared" si="29"/>
        <v>30.42</v>
      </c>
      <c r="AH6" s="12">
        <f>AG6*330</f>
        <v>10038.6</v>
      </c>
      <c r="AI6" s="3"/>
      <c r="AJ6" s="3"/>
      <c r="AK6" t="s" s="2">
        <v>206</v>
      </c>
      <c r="AL6" s="12">
        <f t="shared" si="29"/>
        <v>30.42</v>
      </c>
      <c r="AM6" s="12">
        <f>AL6*350</f>
        <v>10647</v>
      </c>
      <c r="AN6" s="3"/>
      <c r="AO6" s="3"/>
      <c r="AP6" t="s" s="2">
        <v>204</v>
      </c>
      <c r="AQ6" s="12">
        <v>110</v>
      </c>
      <c r="AR6" s="12">
        <f>AQ6*330</f>
        <v>36300</v>
      </c>
      <c r="AS6" s="3"/>
      <c r="AT6" s="3"/>
    </row>
    <row r="7" ht="13.65" customHeight="1">
      <c r="A7" s="3"/>
      <c r="B7" t="s" s="2">
        <v>207</v>
      </c>
      <c r="C7" t="s" s="2">
        <v>208</v>
      </c>
      <c r="D7" s="12">
        <f>3*1200</f>
        <v>3600</v>
      </c>
      <c r="E7" s="3"/>
      <c r="F7" s="3"/>
      <c r="G7" s="3"/>
      <c r="H7" t="s" s="2">
        <v>209</v>
      </c>
      <c r="I7" s="12">
        <v>26000</v>
      </c>
      <c r="J7" s="3"/>
      <c r="K7" s="12">
        <f>1/0.15</f>
        <v>6.666666666666667</v>
      </c>
      <c r="L7" s="3"/>
      <c r="M7" s="3"/>
      <c r="N7" s="3"/>
      <c r="O7" t="s" s="2">
        <v>210</v>
      </c>
      <c r="P7" s="3"/>
      <c r="Q7" s="3"/>
      <c r="R7" s="3"/>
      <c r="S7" t="s" s="2">
        <v>210</v>
      </c>
      <c r="T7" s="3"/>
      <c r="U7" s="12">
        <f>T7*330</f>
        <v>0</v>
      </c>
      <c r="V7" s="50"/>
      <c r="W7" t="s" s="58">
        <v>210</v>
      </c>
      <c r="X7" s="59"/>
      <c r="Y7" s="60">
        <f>X7*350</f>
        <v>0</v>
      </c>
      <c r="Z7" s="54"/>
      <c r="AA7" t="s" s="2">
        <v>210</v>
      </c>
      <c r="AB7" s="3"/>
      <c r="AC7" s="12">
        <f>AB7*350</f>
        <v>0</v>
      </c>
      <c r="AD7" s="3"/>
      <c r="AE7" s="3"/>
      <c r="AF7" t="s" s="2">
        <v>210</v>
      </c>
      <c r="AG7" s="3"/>
      <c r="AH7" s="12">
        <f>AG7*350</f>
        <v>0</v>
      </c>
      <c r="AI7" s="3"/>
      <c r="AJ7" s="3"/>
      <c r="AK7" t="s" s="2">
        <v>210</v>
      </c>
      <c r="AL7" s="3"/>
      <c r="AM7" s="12">
        <f>AL7*350</f>
        <v>0</v>
      </c>
      <c r="AN7" s="3"/>
      <c r="AO7" s="3"/>
      <c r="AP7" t="s" s="2">
        <v>206</v>
      </c>
      <c r="AQ7" s="12">
        <f t="shared" si="29"/>
        <v>30.42</v>
      </c>
      <c r="AR7" s="12">
        <f>AQ7*330</f>
        <v>10038.6</v>
      </c>
      <c r="AS7" s="3"/>
      <c r="AT7" s="3"/>
    </row>
    <row r="8" ht="13.65" customHeight="1">
      <c r="A8" s="3"/>
      <c r="B8" s="3"/>
      <c r="C8" t="s" s="2">
        <v>211</v>
      </c>
      <c r="D8" s="12">
        <f>400*3</f>
        <v>1200</v>
      </c>
      <c r="E8" s="3"/>
      <c r="F8" s="3"/>
      <c r="G8" s="3"/>
      <c r="H8" t="s" s="2">
        <v>212</v>
      </c>
      <c r="I8" s="3"/>
      <c r="J8" s="3"/>
      <c r="K8" s="3"/>
      <c r="L8" s="3"/>
      <c r="M8" s="3"/>
      <c r="N8" s="3"/>
      <c r="O8" t="s" s="2">
        <v>213</v>
      </c>
      <c r="P8" s="3"/>
      <c r="Q8" s="12">
        <v>7000</v>
      </c>
      <c r="R8" s="3"/>
      <c r="S8" t="s" s="2">
        <v>213</v>
      </c>
      <c r="T8" s="3"/>
      <c r="U8" s="12">
        <v>7000</v>
      </c>
      <c r="V8" s="50"/>
      <c r="W8" t="s" s="58">
        <v>213</v>
      </c>
      <c r="X8" s="59"/>
      <c r="Y8" s="60">
        <v>7000</v>
      </c>
      <c r="Z8" s="54"/>
      <c r="AA8" t="s" s="2">
        <v>213</v>
      </c>
      <c r="AB8" s="3"/>
      <c r="AC8" s="12">
        <v>7000</v>
      </c>
      <c r="AD8" s="3"/>
      <c r="AE8" s="3"/>
      <c r="AF8" t="s" s="2">
        <v>213</v>
      </c>
      <c r="AG8" s="3"/>
      <c r="AH8" s="12">
        <v>7000</v>
      </c>
      <c r="AI8" s="3"/>
      <c r="AJ8" s="3"/>
      <c r="AK8" t="s" s="2">
        <v>213</v>
      </c>
      <c r="AL8" s="3"/>
      <c r="AM8" s="12">
        <v>7000</v>
      </c>
      <c r="AN8" s="3"/>
      <c r="AO8" s="3"/>
      <c r="AP8" t="s" s="2">
        <v>210</v>
      </c>
      <c r="AQ8" s="3"/>
      <c r="AR8" s="12">
        <f>AQ8*350</f>
        <v>0</v>
      </c>
      <c r="AS8" s="3"/>
      <c r="AT8" s="3"/>
    </row>
    <row r="9" ht="13.65" customHeight="1">
      <c r="A9" s="3"/>
      <c r="B9" t="s" s="2">
        <v>214</v>
      </c>
      <c r="C9" t="s" s="2">
        <v>215</v>
      </c>
      <c r="D9" s="12">
        <f>400*4</f>
        <v>1600</v>
      </c>
      <c r="E9" s="3"/>
      <c r="F9" t="s" s="2">
        <v>192</v>
      </c>
      <c r="G9" s="3"/>
      <c r="H9" t="s" s="2">
        <v>216</v>
      </c>
      <c r="I9" s="12">
        <f>G9*350</f>
        <v>0</v>
      </c>
      <c r="J9" s="3"/>
      <c r="K9" s="3"/>
      <c r="L9" s="3"/>
      <c r="M9" s="3"/>
      <c r="N9" s="3"/>
      <c r="O9" t="s" s="2">
        <v>217</v>
      </c>
      <c r="P9" s="12">
        <v>16</v>
      </c>
      <c r="Q9" s="12">
        <f>P9*350</f>
        <v>5600</v>
      </c>
      <c r="R9" s="3"/>
      <c r="S9" s="12"/>
      <c r="T9" s="12"/>
      <c r="U9" s="12">
        <f>T9*330</f>
        <v>0</v>
      </c>
      <c r="V9" s="50"/>
      <c r="W9" s="55"/>
      <c r="X9" s="59"/>
      <c r="Y9" s="60">
        <f>X9*350</f>
        <v>0</v>
      </c>
      <c r="Z9" s="54"/>
      <c r="AA9" t="s" s="2">
        <v>218</v>
      </c>
      <c r="AB9" s="12"/>
      <c r="AC9" s="12">
        <f>AB9*350</f>
        <v>0</v>
      </c>
      <c r="AD9" s="3"/>
      <c r="AE9" s="3"/>
      <c r="AF9" t="s" s="2">
        <v>218</v>
      </c>
      <c r="AG9" s="12"/>
      <c r="AH9" s="12">
        <f>AG9*350</f>
        <v>0</v>
      </c>
      <c r="AI9" s="3"/>
      <c r="AJ9" s="3"/>
      <c r="AK9" t="s" s="2">
        <v>219</v>
      </c>
      <c r="AL9" s="12"/>
      <c r="AM9" s="12">
        <f>AL9*350</f>
        <v>0</v>
      </c>
      <c r="AN9" s="3"/>
      <c r="AO9" s="3"/>
      <c r="AP9" t="s" s="2">
        <v>213</v>
      </c>
      <c r="AQ9" s="3"/>
      <c r="AR9" s="12">
        <v>7000</v>
      </c>
      <c r="AS9" s="3"/>
      <c r="AT9" s="3"/>
    </row>
    <row r="10" ht="13.65" customHeight="1">
      <c r="A10" s="3"/>
      <c r="B10" s="3"/>
      <c r="C10" t="s" s="2">
        <v>220</v>
      </c>
      <c r="D10" s="12">
        <v>1000</v>
      </c>
      <c r="E10" s="3"/>
      <c r="F10" s="3"/>
      <c r="G10" s="3"/>
      <c r="H10" t="s" s="2">
        <v>221</v>
      </c>
      <c r="I10" s="3"/>
      <c r="J10" s="3"/>
      <c r="K10" s="3"/>
      <c r="L10" s="3"/>
      <c r="M10" s="3"/>
      <c r="N10" s="3"/>
      <c r="O10" t="s" s="2">
        <v>222</v>
      </c>
      <c r="P10" s="12">
        <v>4</v>
      </c>
      <c r="Q10" s="12">
        <f>P10*350</f>
        <v>1400</v>
      </c>
      <c r="R10" s="3"/>
      <c r="S10" s="12"/>
      <c r="T10" s="12"/>
      <c r="U10" s="12">
        <f>T10*330</f>
        <v>0</v>
      </c>
      <c r="V10" s="50"/>
      <c r="W10" s="55"/>
      <c r="X10" s="59"/>
      <c r="Y10" s="60">
        <f>X10*350</f>
        <v>0</v>
      </c>
      <c r="Z10" s="54"/>
      <c r="AA10" t="s" s="2">
        <v>223</v>
      </c>
      <c r="AB10" s="12">
        <v>80</v>
      </c>
      <c r="AC10" s="12">
        <f>AB10*350</f>
        <v>28000</v>
      </c>
      <c r="AD10" s="3"/>
      <c r="AE10" s="3"/>
      <c r="AF10" t="s" s="2">
        <v>224</v>
      </c>
      <c r="AG10" s="12">
        <f t="shared" si="63" ref="AG10:AQ11">ROUND(60/(1.22*2.44),2)</f>
        <v>20.16</v>
      </c>
      <c r="AH10" s="12">
        <f>AG10*330</f>
        <v>6652.8</v>
      </c>
      <c r="AI10" s="3"/>
      <c r="AJ10" s="3"/>
      <c r="AK10" t="s" s="2">
        <v>225</v>
      </c>
      <c r="AL10" s="12">
        <f>16.9*1.17*3</f>
        <v>59.31899999999999</v>
      </c>
      <c r="AM10" s="12">
        <f>AL10*350</f>
        <v>20761.649999999994</v>
      </c>
      <c r="AN10" t="s" s="35">
        <v>226</v>
      </c>
      <c r="AO10" s="3"/>
      <c r="AP10" t="s" s="2">
        <v>227</v>
      </c>
      <c r="AQ10" s="12">
        <f>ROUND(3.1*(20/3),2)</f>
        <v>20.67</v>
      </c>
      <c r="AR10" s="12">
        <f>AQ10*350</f>
        <v>7234.500000000001</v>
      </c>
      <c r="AS10" s="3"/>
      <c r="AT10" s="3"/>
    </row>
    <row r="11" ht="13.65" customHeight="1">
      <c r="A11" s="3"/>
      <c r="B11" t="s" s="2">
        <v>228</v>
      </c>
      <c r="C11" t="s" s="2">
        <v>229</v>
      </c>
      <c r="D11" s="12">
        <v>1500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t="s" s="2">
        <v>230</v>
      </c>
      <c r="P11" s="12">
        <v>0</v>
      </c>
      <c r="Q11" s="12">
        <f>P11*350</f>
        <v>0</v>
      </c>
      <c r="R11" s="3"/>
      <c r="S11" s="12"/>
      <c r="T11" s="12"/>
      <c r="U11" s="12">
        <f>T11*330</f>
        <v>0</v>
      </c>
      <c r="V11" s="50"/>
      <c r="W11" t="s" s="58">
        <v>231</v>
      </c>
      <c r="X11" s="59"/>
      <c r="Y11" s="60">
        <v>1000</v>
      </c>
      <c r="Z11" s="54"/>
      <c r="AA11" t="s" s="2">
        <v>232</v>
      </c>
      <c r="AB11" s="61"/>
      <c r="AC11" s="61"/>
      <c r="AD11" s="3"/>
      <c r="AE11" s="3"/>
      <c r="AF11" t="s" s="2">
        <v>232</v>
      </c>
      <c r="AG11" s="61"/>
      <c r="AH11" s="61"/>
      <c r="AI11" t="s" s="35">
        <v>233</v>
      </c>
      <c r="AJ11" s="35"/>
      <c r="AK11" t="s" s="2">
        <v>234</v>
      </c>
      <c r="AL11" s="61"/>
      <c r="AM11" s="12">
        <v>2000</v>
      </c>
      <c r="AN11" s="34">
        <f>0.14*2.4</f>
        <v>0.336</v>
      </c>
      <c r="AO11" s="35"/>
      <c r="AP11" t="s" s="2">
        <v>224</v>
      </c>
      <c r="AQ11" s="12">
        <f t="shared" si="63"/>
        <v>20.16</v>
      </c>
      <c r="AR11" s="12">
        <f>AQ11*330</f>
        <v>6652.8</v>
      </c>
      <c r="AS11" s="3"/>
      <c r="AT11" s="35"/>
    </row>
    <row r="12" ht="13.65" customHeight="1">
      <c r="A12" s="12">
        <f>180/24</f>
        <v>7.5</v>
      </c>
      <c r="B12" t="s" s="2">
        <v>235</v>
      </c>
      <c r="C12" t="s" s="2">
        <v>236</v>
      </c>
      <c r="D12" s="12">
        <f>7.5*350</f>
        <v>2625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t="s" s="2">
        <v>237</v>
      </c>
      <c r="P12" s="12">
        <v>4</v>
      </c>
      <c r="Q12" s="12">
        <f>P12*350</f>
        <v>1400</v>
      </c>
      <c r="R12" s="3"/>
      <c r="S12" t="s" s="2">
        <v>237</v>
      </c>
      <c r="T12" s="12">
        <v>7.2</v>
      </c>
      <c r="U12" s="12">
        <f>T12*330</f>
        <v>2376</v>
      </c>
      <c r="V12" s="50"/>
      <c r="W12" t="s" s="58">
        <v>238</v>
      </c>
      <c r="X12" s="59">
        <f>W30</f>
        <v>44.0704</v>
      </c>
      <c r="Y12" s="60">
        <f>X12*330</f>
        <v>14543.232</v>
      </c>
      <c r="Z12" s="54"/>
      <c r="AA12" t="s" s="2">
        <v>239</v>
      </c>
      <c r="AB12" s="61"/>
      <c r="AC12" s="61"/>
      <c r="AD12" s="3"/>
      <c r="AE12" s="3"/>
      <c r="AF12" t="s" s="2">
        <v>240</v>
      </c>
      <c r="AG12" s="61"/>
      <c r="AH12" s="61"/>
      <c r="AI12" s="3"/>
      <c r="AJ12" s="3"/>
      <c r="AK12" t="s" s="2">
        <v>241</v>
      </c>
      <c r="AL12" s="61"/>
      <c r="AM12" s="61"/>
      <c r="AN12" t="s" s="35">
        <v>242</v>
      </c>
      <c r="AO12" s="3"/>
      <c r="AP12" t="s" s="2">
        <v>232</v>
      </c>
      <c r="AQ12" s="61"/>
      <c r="AR12" s="61"/>
      <c r="AS12" t="s" s="35">
        <v>233</v>
      </c>
      <c r="AT12" s="3"/>
    </row>
    <row r="13" ht="13.6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t="s" s="2">
        <v>243</v>
      </c>
      <c r="P13" s="12">
        <v>22</v>
      </c>
      <c r="Q13" s="12">
        <f>P13*350</f>
        <v>7700</v>
      </c>
      <c r="R13" s="3"/>
      <c r="S13" t="s" s="2">
        <v>243</v>
      </c>
      <c r="T13" s="12">
        <v>22</v>
      </c>
      <c r="U13" s="12">
        <f>T13*330</f>
        <v>7260</v>
      </c>
      <c r="V13" s="50"/>
      <c r="W13" s="62"/>
      <c r="X13" s="63"/>
      <c r="Y13" s="64"/>
      <c r="Z13" s="54"/>
      <c r="AA13" t="s" s="2">
        <v>128</v>
      </c>
      <c r="AB13" s="12">
        <f t="shared" si="82" ref="AB13:AG13">350/70</f>
        <v>5</v>
      </c>
      <c r="AC13" s="12">
        <f>AB13*350</f>
        <v>1750</v>
      </c>
      <c r="AD13" t="s" s="2">
        <v>244</v>
      </c>
      <c r="AE13" s="2"/>
      <c r="AF13" t="s" s="2">
        <v>128</v>
      </c>
      <c r="AG13" s="12">
        <f t="shared" si="82"/>
        <v>5</v>
      </c>
      <c r="AH13" s="12">
        <f>AG13*330</f>
        <v>1650</v>
      </c>
      <c r="AI13" t="s" s="2">
        <v>244</v>
      </c>
      <c r="AJ13" s="2"/>
      <c r="AK13" t="s" s="2">
        <v>245</v>
      </c>
      <c r="AL13" s="61"/>
      <c r="AM13" s="12">
        <v>1000</v>
      </c>
      <c r="AN13" s="2"/>
      <c r="AO13" s="2"/>
      <c r="AP13" t="s" s="2">
        <v>240</v>
      </c>
      <c r="AQ13" s="12">
        <f>ROUND(277/18,2)</f>
        <v>15.39</v>
      </c>
      <c r="AR13" s="12">
        <f>330*AQ13</f>
        <v>5078.7</v>
      </c>
      <c r="AS13" s="3"/>
      <c r="AT13" s="2"/>
    </row>
    <row r="14" ht="13.6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t="s" s="2">
        <v>107</v>
      </c>
      <c r="P14" s="12">
        <f>SUM(P3:P13)</f>
        <v>229.1</v>
      </c>
      <c r="Q14" s="12">
        <f>SUM(Q3:Q13)</f>
        <v>87185</v>
      </c>
      <c r="R14" s="3"/>
      <c r="S14" t="s" s="2">
        <v>107</v>
      </c>
      <c r="T14" s="12">
        <f>SUM(T3:T11)</f>
        <v>178.42</v>
      </c>
      <c r="U14" s="12">
        <f>SUM(U3:U13)</f>
        <v>75514.600000000006</v>
      </c>
      <c r="V14" s="50"/>
      <c r="W14" s="62"/>
      <c r="X14" s="63"/>
      <c r="Y14" s="64"/>
      <c r="Z14" s="54"/>
      <c r="AA14" t="s" s="2">
        <v>246</v>
      </c>
      <c r="AB14" s="61"/>
      <c r="AC14" s="61"/>
      <c r="AD14" s="3"/>
      <c r="AE14" s="3"/>
      <c r="AF14" t="s" s="2">
        <v>247</v>
      </c>
      <c r="AG14" s="61"/>
      <c r="AH14" s="12">
        <f>AG14*330</f>
        <v>0</v>
      </c>
      <c r="AI14" s="3"/>
      <c r="AJ14" s="3"/>
      <c r="AK14" s="61"/>
      <c r="AL14" s="61"/>
      <c r="AM14" s="61"/>
      <c r="AN14" s="3"/>
      <c r="AO14" s="3"/>
      <c r="AP14" s="61"/>
      <c r="AQ14" s="61"/>
      <c r="AR14" s="61"/>
      <c r="AS14" s="61"/>
      <c r="AT14" s="3"/>
    </row>
    <row r="15" ht="13.6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12">
        <f>Q14*330/350</f>
        <v>82203</v>
      </c>
      <c r="R15" s="3"/>
      <c r="S15" s="3"/>
      <c r="T15" s="3"/>
      <c r="U15" s="3"/>
      <c r="V15" s="50"/>
      <c r="W15" s="62"/>
      <c r="X15" s="63"/>
      <c r="Y15" s="64"/>
      <c r="Z15" s="65">
        <f>SUM(X12:X15)</f>
        <v>44.0704</v>
      </c>
      <c r="AA15" t="s" s="2">
        <v>248</v>
      </c>
      <c r="AB15" s="61"/>
      <c r="AC15" s="61"/>
      <c r="AD15" s="3"/>
      <c r="AE15" s="3"/>
      <c r="AF15" t="s" s="2">
        <v>248</v>
      </c>
      <c r="AG15" s="61"/>
      <c r="AH15" s="12">
        <f>AG15*330</f>
        <v>0</v>
      </c>
      <c r="AI15" s="3"/>
      <c r="AJ15" s="3"/>
      <c r="AK15" s="61"/>
      <c r="AL15" s="61"/>
      <c r="AM15" s="61"/>
      <c r="AN15" s="3"/>
      <c r="AO15" s="3"/>
      <c r="AP15" t="s" s="2">
        <v>247</v>
      </c>
      <c r="AQ15" s="61"/>
      <c r="AR15" s="12">
        <v>2500</v>
      </c>
      <c r="AS15" s="3"/>
      <c r="AT15" s="3"/>
    </row>
    <row r="16" ht="13.6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t="s" s="2">
        <v>249</v>
      </c>
      <c r="P16" s="3"/>
      <c r="Q16" s="3"/>
      <c r="R16" s="3"/>
      <c r="S16" s="3"/>
      <c r="T16" s="3"/>
      <c r="U16" s="3"/>
      <c r="V16" s="50"/>
      <c r="W16" t="s" s="58">
        <v>237</v>
      </c>
      <c r="X16" s="59">
        <v>7.2</v>
      </c>
      <c r="Y16" s="60">
        <f>X16*330</f>
        <v>2376</v>
      </c>
      <c r="Z16" s="65">
        <f>Z15*330</f>
        <v>14543.232</v>
      </c>
      <c r="AA16" s="61"/>
      <c r="AB16" s="61"/>
      <c r="AC16" s="61"/>
      <c r="AD16" s="3"/>
      <c r="AE16" s="3"/>
      <c r="AF16" t="s" s="2">
        <v>243</v>
      </c>
      <c r="AG16" s="12">
        <v>22</v>
      </c>
      <c r="AH16" s="12">
        <f>AG16*330</f>
        <v>7260</v>
      </c>
      <c r="AI16" s="3"/>
      <c r="AJ16" s="3"/>
      <c r="AK16" s="61"/>
      <c r="AL16" s="61"/>
      <c r="AM16" s="61"/>
      <c r="AN16" s="3"/>
      <c r="AO16" s="3"/>
      <c r="AP16" t="s" s="2">
        <v>248</v>
      </c>
      <c r="AQ16" s="61"/>
      <c r="AR16" s="12">
        <v>1000</v>
      </c>
      <c r="AS16" s="3"/>
      <c r="AT16" s="3"/>
    </row>
    <row r="17" ht="13.65" customHeight="1">
      <c r="A17" s="3"/>
      <c r="B17" s="3"/>
      <c r="C17" t="s" s="2">
        <v>243</v>
      </c>
      <c r="D17" s="3"/>
      <c r="E17" s="3"/>
      <c r="F17" s="3"/>
      <c r="G17" s="3"/>
      <c r="H17" t="s" s="2">
        <v>243</v>
      </c>
      <c r="I17" s="3"/>
      <c r="J17" s="3"/>
      <c r="K17" s="3"/>
      <c r="L17" s="3"/>
      <c r="M17" s="3"/>
      <c r="N17" s="3"/>
      <c r="O17" t="s" s="2">
        <v>250</v>
      </c>
      <c r="P17" s="3"/>
      <c r="Q17" s="3"/>
      <c r="R17" s="3"/>
      <c r="S17" s="3"/>
      <c r="T17" s="3"/>
      <c r="U17" s="3"/>
      <c r="V17" s="50"/>
      <c r="W17" t="s" s="58">
        <v>251</v>
      </c>
      <c r="X17" s="59">
        <v>40</v>
      </c>
      <c r="Y17" s="60">
        <f>X17*330</f>
        <v>13200</v>
      </c>
      <c r="Z17" s="54"/>
      <c r="AA17" s="61"/>
      <c r="AB17" s="61"/>
      <c r="AC17" s="61"/>
      <c r="AD17" s="3"/>
      <c r="AE17" s="3"/>
      <c r="AF17" t="s" s="2">
        <v>252</v>
      </c>
      <c r="AG17" s="61"/>
      <c r="AH17" s="12">
        <f>AG17*330</f>
        <v>0</v>
      </c>
      <c r="AI17" s="3"/>
      <c r="AJ17" s="3"/>
      <c r="AK17" s="61"/>
      <c r="AL17" s="61"/>
      <c r="AM17" s="61"/>
      <c r="AN17" s="3"/>
      <c r="AO17" s="3"/>
      <c r="AP17" t="s" s="2">
        <v>243</v>
      </c>
      <c r="AQ17" s="12">
        <v>22</v>
      </c>
      <c r="AR17" s="12">
        <f>AQ17*330</f>
        <v>7260</v>
      </c>
      <c r="AS17" s="3"/>
      <c r="AT17" s="3"/>
    </row>
    <row r="18" ht="13.6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50"/>
      <c r="W18" t="s" s="66">
        <v>107</v>
      </c>
      <c r="X18" s="67">
        <f>SUM(X3:X17)</f>
        <v>269.6904</v>
      </c>
      <c r="Y18" s="68">
        <f>X18*330</f>
        <v>88997.831999999980</v>
      </c>
      <c r="Z18" s="54"/>
      <c r="AA18" t="s" s="2">
        <v>107</v>
      </c>
      <c r="AB18" s="12">
        <f>SUM(AB3:AB17)</f>
        <v>263.42</v>
      </c>
      <c r="AC18" s="12">
        <f>SUM(AC3:AC17)</f>
        <v>98517</v>
      </c>
      <c r="AD18" s="3"/>
      <c r="AE18" s="3"/>
      <c r="AF18" t="s" s="2">
        <v>107</v>
      </c>
      <c r="AG18" s="12">
        <f>SUM(AG3:AG17)</f>
        <v>225.58</v>
      </c>
      <c r="AH18" s="12">
        <f>AG18*330</f>
        <v>74441.399999999994</v>
      </c>
      <c r="AI18" s="3"/>
      <c r="AJ18" s="3"/>
      <c r="AK18" t="s" s="2">
        <v>107</v>
      </c>
      <c r="AL18" s="12">
        <f>SUM(AL3:AL17)</f>
        <v>237.739</v>
      </c>
      <c r="AM18" s="12">
        <f>SUM(AM3:AM17)</f>
        <v>92528.649999999994</v>
      </c>
      <c r="AN18" s="3"/>
      <c r="AO18" s="3"/>
      <c r="AP18" t="s" s="2">
        <v>252</v>
      </c>
      <c r="AQ18" s="61"/>
      <c r="AR18" s="12">
        <v>1500</v>
      </c>
      <c r="AS18" s="3"/>
      <c r="AT18" s="3"/>
    </row>
    <row r="19" ht="13.65" customHeight="1">
      <c r="A19" s="4"/>
      <c r="B19" s="4"/>
      <c r="C19" s="4"/>
      <c r="D19" s="4"/>
      <c r="E19" s="4"/>
      <c r="F19" s="3"/>
      <c r="G19" s="3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69"/>
      <c r="X19" s="69"/>
      <c r="Y19" s="69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t="s" s="14">
        <v>107</v>
      </c>
      <c r="AQ19" s="15">
        <f>SUM(AQ4:AQ18)</f>
        <v>256.64</v>
      </c>
      <c r="AR19" s="15">
        <f>AQ19*330</f>
        <v>84691.2</v>
      </c>
      <c r="AS19" s="4"/>
      <c r="AT19" s="4"/>
    </row>
    <row r="20" ht="13.65" customHeight="1">
      <c r="A20" t="s" s="70">
        <v>107</v>
      </c>
      <c r="B20" s="28"/>
      <c r="C20" s="28"/>
      <c r="D20" s="28">
        <f>SUM(D3:D19)</f>
        <v>65323.5</v>
      </c>
      <c r="E20" s="28"/>
      <c r="F20" s="71"/>
      <c r="G20" s="72"/>
      <c r="H20" s="28"/>
      <c r="I20" s="28">
        <f>SUM(I3:I19)</f>
        <v>97500</v>
      </c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9"/>
    </row>
    <row r="21" ht="13.65" customHeight="1">
      <c r="A21" s="9"/>
      <c r="B21" s="9"/>
      <c r="C21" s="9"/>
      <c r="D21" s="9"/>
      <c r="E21" s="9"/>
      <c r="F21" s="3"/>
      <c r="G21" s="3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</row>
    <row r="22" ht="13.6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</row>
    <row r="23" ht="13.6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t="s" s="2">
        <v>253</v>
      </c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t="s" s="35">
        <v>254</v>
      </c>
      <c r="AR23" s="34">
        <f>(100/5*100/10)/3</f>
        <v>66.66666666666667</v>
      </c>
      <c r="AS23" s="3"/>
      <c r="AT23" s="3"/>
    </row>
    <row r="24" ht="13.6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t="s" s="2">
        <v>255</v>
      </c>
      <c r="V24" t="s" s="2">
        <v>256</v>
      </c>
      <c r="W24" t="s" s="2">
        <v>257</v>
      </c>
      <c r="X24" t="s" s="2">
        <v>258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t="s" s="35">
        <v>259</v>
      </c>
      <c r="AR24" s="73">
        <v>19.6969696969697</v>
      </c>
      <c r="AS24" s="3"/>
      <c r="AT24" s="3"/>
    </row>
    <row r="25" ht="13.6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12">
        <f>200*350</f>
        <v>70000</v>
      </c>
      <c r="Q25" s="3"/>
      <c r="R25" s="12">
        <f>155*350</f>
        <v>54250</v>
      </c>
      <c r="S25" s="3"/>
      <c r="T25" t="s" s="2">
        <v>260</v>
      </c>
      <c r="U25" s="12">
        <v>0.9</v>
      </c>
      <c r="V25" s="12">
        <f>0.9*14.8*1.17</f>
        <v>15.5844</v>
      </c>
      <c r="W25" s="12">
        <f>V25*2</f>
        <v>31.1688</v>
      </c>
      <c r="X25" s="12">
        <f>W25*330</f>
        <v>10285.704</v>
      </c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ht="13.6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12">
        <f>14*2500</f>
        <v>35000</v>
      </c>
      <c r="S26" s="3"/>
      <c r="T26" t="s" s="2">
        <v>261</v>
      </c>
      <c r="U26" s="12">
        <v>2</v>
      </c>
      <c r="V26" s="12">
        <f>U26*1.17*15.5/25</f>
        <v>1.4508</v>
      </c>
      <c r="W26" s="12">
        <f>V26*2</f>
        <v>2.9016</v>
      </c>
      <c r="X26" s="12">
        <f>W26*330</f>
        <v>957.5279999999999</v>
      </c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</row>
    <row r="27" ht="13.6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t="s" s="2">
        <v>262</v>
      </c>
      <c r="U27" s="12">
        <v>5</v>
      </c>
      <c r="V27" s="59">
        <f>5*200/500</f>
        <v>2</v>
      </c>
      <c r="W27" s="12">
        <f>V27*2</f>
        <v>4</v>
      </c>
      <c r="X27" s="12">
        <f>W27*330</f>
        <v>1320</v>
      </c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</row>
    <row r="28" ht="13.6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t="s" s="2">
        <v>263</v>
      </c>
      <c r="U28" s="3"/>
      <c r="V28" s="12">
        <v>3</v>
      </c>
      <c r="W28" s="12">
        <f>V28*2</f>
        <v>6</v>
      </c>
      <c r="X28" s="12">
        <f>W28*330</f>
        <v>1980</v>
      </c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</row>
    <row r="29" ht="13.6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61"/>
      <c r="U29" s="3"/>
      <c r="V29" s="61"/>
      <c r="W29" s="12">
        <f>V29*2</f>
        <v>0</v>
      </c>
      <c r="X29" s="61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</row>
    <row r="30" ht="13.6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12">
        <f>SUM(V25:V29)</f>
        <v>22.0352</v>
      </c>
      <c r="W30" s="12">
        <f>V30*2</f>
        <v>44.0704</v>
      </c>
      <c r="X30" s="12">
        <f>W30*330</f>
        <v>14543.232</v>
      </c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</row>
    <row r="31" ht="13.6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ht="13.6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</row>
    <row r="33" ht="13.6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</row>
    <row r="34" ht="13.65" customHeight="1">
      <c r="A34" t="s" s="2">
        <v>264</v>
      </c>
      <c r="B34" s="3"/>
      <c r="C34" s="3"/>
      <c r="D34" s="3"/>
      <c r="E34" s="3"/>
      <c r="F34" s="3"/>
      <c r="G34" t="s" s="2">
        <v>265</v>
      </c>
      <c r="H34" s="3"/>
      <c r="I34" s="3"/>
      <c r="J34" s="3"/>
      <c r="K34" s="3"/>
      <c r="L34" t="s" s="2">
        <v>266</v>
      </c>
      <c r="M34" s="3"/>
      <c r="N34" s="3"/>
      <c r="O34" s="3"/>
      <c r="P34" s="3"/>
      <c r="Q34" t="s" s="74">
        <v>267</v>
      </c>
      <c r="R34" s="75"/>
      <c r="S34" s="75"/>
      <c r="T34" s="75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</row>
    <row r="35" ht="13.65" customHeight="1">
      <c r="A35" s="12"/>
      <c r="B35" t="s" s="2">
        <v>189</v>
      </c>
      <c r="C35" t="s" s="2">
        <v>190</v>
      </c>
      <c r="D35" s="3"/>
      <c r="E35" s="3"/>
      <c r="F35" s="3"/>
      <c r="G35" s="12"/>
      <c r="H35" t="s" s="2">
        <v>189</v>
      </c>
      <c r="I35" t="s" s="2">
        <v>190</v>
      </c>
      <c r="J35" s="3"/>
      <c r="K35" s="3"/>
      <c r="L35" s="12"/>
      <c r="M35" t="s" s="2">
        <v>189</v>
      </c>
      <c r="N35" t="s" s="2">
        <v>190</v>
      </c>
      <c r="O35" s="3"/>
      <c r="P35" s="3"/>
      <c r="Q35" s="75"/>
      <c r="R35" t="s" s="74">
        <v>189</v>
      </c>
      <c r="S35" t="s" s="74">
        <v>190</v>
      </c>
      <c r="T35" s="75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</row>
    <row r="36" ht="13.65" customHeight="1">
      <c r="A36" t="s" s="2">
        <v>195</v>
      </c>
      <c r="B36" s="12">
        <f t="shared" si="133" ref="B36:M36">480/4</f>
        <v>120</v>
      </c>
      <c r="C36" s="12">
        <f>B36*330</f>
        <v>39600</v>
      </c>
      <c r="D36" s="3"/>
      <c r="E36" s="3"/>
      <c r="F36" s="3"/>
      <c r="G36" t="s" s="2">
        <v>195</v>
      </c>
      <c r="H36" s="12">
        <f t="shared" si="133"/>
        <v>120</v>
      </c>
      <c r="I36" s="12">
        <f>H36*330</f>
        <v>39600</v>
      </c>
      <c r="J36" s="3"/>
      <c r="K36" s="3"/>
      <c r="L36" t="s" s="2">
        <v>195</v>
      </c>
      <c r="M36" s="12">
        <f t="shared" si="133"/>
        <v>120</v>
      </c>
      <c r="N36" s="12">
        <f>M36*330</f>
        <v>39600</v>
      </c>
      <c r="O36" s="3"/>
      <c r="P36" s="3"/>
      <c r="Q36" t="s" s="74">
        <v>195</v>
      </c>
      <c r="R36" s="75">
        <v>110</v>
      </c>
      <c r="S36" s="75">
        <f>R36*330</f>
        <v>36300</v>
      </c>
      <c r="T36" s="75"/>
      <c r="U36" s="34">
        <f>R36*220</f>
        <v>24200</v>
      </c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</row>
    <row r="37" ht="13.65" customHeight="1">
      <c r="A37" t="s" s="2">
        <v>268</v>
      </c>
      <c r="B37" s="12">
        <v>10</v>
      </c>
      <c r="C37" s="12">
        <f>B37*330</f>
        <v>3300</v>
      </c>
      <c r="D37" s="3"/>
      <c r="E37" s="3"/>
      <c r="F37" s="3"/>
      <c r="G37" t="s" s="2">
        <v>268</v>
      </c>
      <c r="H37" s="12">
        <v>10</v>
      </c>
      <c r="I37" s="12">
        <f>H37*330</f>
        <v>3300</v>
      </c>
      <c r="J37" s="3"/>
      <c r="K37" s="3"/>
      <c r="L37" t="s" s="2">
        <v>268</v>
      </c>
      <c r="M37" s="12">
        <v>10</v>
      </c>
      <c r="N37" s="12">
        <f>M37*330</f>
        <v>3300</v>
      </c>
      <c r="O37" s="3"/>
      <c r="P37" s="3"/>
      <c r="Q37" t="s" s="74">
        <v>268</v>
      </c>
      <c r="R37" s="75">
        <v>10</v>
      </c>
      <c r="S37" s="75">
        <f>R37*330</f>
        <v>3300</v>
      </c>
      <c r="T37" s="75"/>
      <c r="U37" s="34">
        <f>R37*220</f>
        <v>2200</v>
      </c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ht="13.65" customHeight="1">
      <c r="A38" t="s" s="2">
        <v>204</v>
      </c>
      <c r="B38" s="12">
        <v>110</v>
      </c>
      <c r="C38" s="12">
        <f>B38*330</f>
        <v>36300</v>
      </c>
      <c r="D38" s="3"/>
      <c r="E38" s="3"/>
      <c r="F38" s="3"/>
      <c r="G38" t="s" s="2">
        <v>204</v>
      </c>
      <c r="H38" s="12">
        <v>110</v>
      </c>
      <c r="I38" s="12">
        <f>H38*330</f>
        <v>36300</v>
      </c>
      <c r="J38" s="3"/>
      <c r="K38" s="3"/>
      <c r="L38" t="s" s="2">
        <v>204</v>
      </c>
      <c r="M38" s="12">
        <v>110</v>
      </c>
      <c r="N38" s="12">
        <f>M38*330</f>
        <v>36300</v>
      </c>
      <c r="O38" s="3"/>
      <c r="P38" s="3"/>
      <c r="Q38" t="s" s="74">
        <v>204</v>
      </c>
      <c r="R38" s="75">
        <v>110</v>
      </c>
      <c r="S38" s="75">
        <f>R38*330</f>
        <v>36300</v>
      </c>
      <c r="T38" s="75"/>
      <c r="U38" s="34">
        <f>R38*220</f>
        <v>24200</v>
      </c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</row>
    <row r="39" ht="13.65" customHeight="1">
      <c r="A39" t="s" s="2">
        <v>206</v>
      </c>
      <c r="B39" s="3"/>
      <c r="C39" s="12">
        <f>B39*330</f>
        <v>0</v>
      </c>
      <c r="D39" s="3"/>
      <c r="E39" s="3"/>
      <c r="F39" s="3"/>
      <c r="G39" t="s" s="2">
        <v>206</v>
      </c>
      <c r="H39" s="3"/>
      <c r="I39" s="12">
        <f>H39*330</f>
        <v>0</v>
      </c>
      <c r="J39" s="3"/>
      <c r="K39" s="3"/>
      <c r="L39" t="s" s="2">
        <v>206</v>
      </c>
      <c r="M39" s="3"/>
      <c r="N39" s="12">
        <f>M39*330</f>
        <v>0</v>
      </c>
      <c r="O39" s="3"/>
      <c r="P39" s="3"/>
      <c r="Q39" t="s" s="74">
        <v>206</v>
      </c>
      <c r="R39" s="75"/>
      <c r="S39" s="75">
        <f>R39*330</f>
        <v>0</v>
      </c>
      <c r="T39" s="75"/>
      <c r="U39" s="34">
        <f>R39*220</f>
        <v>0</v>
      </c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</row>
    <row r="40" ht="13.65" customHeight="1">
      <c r="A40" t="s" s="2">
        <v>210</v>
      </c>
      <c r="B40" s="3"/>
      <c r="C40" s="12">
        <f>B40*330</f>
        <v>0</v>
      </c>
      <c r="D40" s="3"/>
      <c r="E40" s="3"/>
      <c r="F40" s="3"/>
      <c r="G40" t="s" s="2">
        <v>210</v>
      </c>
      <c r="H40" s="3"/>
      <c r="I40" s="12">
        <f>H40*330</f>
        <v>0</v>
      </c>
      <c r="J40" s="3"/>
      <c r="K40" s="3"/>
      <c r="L40" t="s" s="2">
        <v>210</v>
      </c>
      <c r="M40" s="3"/>
      <c r="N40" s="12">
        <f>M40*330</f>
        <v>0</v>
      </c>
      <c r="O40" s="3"/>
      <c r="P40" s="3"/>
      <c r="Q40" t="s" s="74">
        <v>210</v>
      </c>
      <c r="R40" s="75"/>
      <c r="S40" s="75">
        <f>R40*330</f>
        <v>0</v>
      </c>
      <c r="T40" s="75"/>
      <c r="U40" s="34">
        <f>R40*220</f>
        <v>0</v>
      </c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</row>
    <row r="41" ht="13.65" customHeight="1">
      <c r="A41" t="s" s="2">
        <v>213</v>
      </c>
      <c r="B41" s="3"/>
      <c r="C41" s="12">
        <v>7000</v>
      </c>
      <c r="D41" s="3"/>
      <c r="E41" s="3"/>
      <c r="F41" s="3"/>
      <c r="G41" t="s" s="2">
        <v>213</v>
      </c>
      <c r="H41" s="3"/>
      <c r="I41" s="12">
        <v>7000</v>
      </c>
      <c r="J41" s="3"/>
      <c r="K41" s="3"/>
      <c r="L41" t="s" s="2">
        <v>213</v>
      </c>
      <c r="M41" s="3"/>
      <c r="N41" s="12">
        <v>7000</v>
      </c>
      <c r="O41" s="3"/>
      <c r="P41" s="3"/>
      <c r="Q41" t="s" s="74">
        <v>213</v>
      </c>
      <c r="R41" s="75"/>
      <c r="S41" s="75">
        <v>7000</v>
      </c>
      <c r="T41" s="75"/>
      <c r="U41" s="34">
        <v>7000</v>
      </c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</row>
    <row r="42" ht="13.65" customHeight="1">
      <c r="A42" t="s" s="2">
        <v>269</v>
      </c>
      <c r="B42" s="12">
        <f t="shared" si="161" ref="B42:M42">135/46</f>
        <v>2.934782608695652</v>
      </c>
      <c r="C42" s="12">
        <f>B42*(25*2.5+21*2)</f>
        <v>306.6847826086957</v>
      </c>
      <c r="D42" s="12">
        <f t="shared" si="163" ref="D42:T42">25*2.5+21*2</f>
        <v>104.5</v>
      </c>
      <c r="E42" s="3"/>
      <c r="F42" s="3"/>
      <c r="G42" t="s" s="2">
        <v>269</v>
      </c>
      <c r="H42" s="12">
        <f t="shared" si="161"/>
        <v>2.934782608695652</v>
      </c>
      <c r="I42" s="12">
        <f>H42*(25*2.5+21*2)</f>
        <v>306.6847826086957</v>
      </c>
      <c r="J42" s="12">
        <f t="shared" si="163"/>
        <v>104.5</v>
      </c>
      <c r="K42" s="3"/>
      <c r="L42" t="s" s="2">
        <v>269</v>
      </c>
      <c r="M42" s="12">
        <f t="shared" si="161"/>
        <v>2.934782608695652</v>
      </c>
      <c r="N42" s="12">
        <f>M42*(25*2.5+21*2)</f>
        <v>306.6847826086957</v>
      </c>
      <c r="O42" s="12">
        <f t="shared" si="163"/>
        <v>104.5</v>
      </c>
      <c r="P42" s="3"/>
      <c r="Q42" t="s" s="74">
        <v>269</v>
      </c>
      <c r="R42" s="75">
        <f>ROUND(135/46,2)</f>
        <v>2.93</v>
      </c>
      <c r="S42" s="75">
        <f>R42*(25*2.5+21*2)</f>
        <v>306.185</v>
      </c>
      <c r="T42" s="75">
        <f t="shared" si="163"/>
        <v>104.5</v>
      </c>
      <c r="U42" s="34">
        <f>R42*(25*2.5+21*2)</f>
        <v>306.185</v>
      </c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</row>
    <row r="43" ht="13.65" customHeight="1">
      <c r="A43" t="s" s="2">
        <v>270</v>
      </c>
      <c r="B43" s="12"/>
      <c r="C43" s="12">
        <v>300</v>
      </c>
      <c r="D43" s="3"/>
      <c r="E43" s="3"/>
      <c r="F43" s="3"/>
      <c r="G43" t="s" s="2">
        <v>270</v>
      </c>
      <c r="H43" s="12"/>
      <c r="I43" s="12">
        <v>300</v>
      </c>
      <c r="J43" s="3"/>
      <c r="K43" s="3"/>
      <c r="L43" t="s" s="2">
        <v>270</v>
      </c>
      <c r="M43" s="12"/>
      <c r="N43" s="12">
        <v>300</v>
      </c>
      <c r="O43" s="3"/>
      <c r="P43" s="3"/>
      <c r="Q43" t="s" s="74">
        <v>270</v>
      </c>
      <c r="R43" s="75"/>
      <c r="S43" s="75">
        <v>300</v>
      </c>
      <c r="T43" s="75"/>
      <c r="U43" s="34">
        <f>R43*220</f>
        <v>0</v>
      </c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</row>
    <row r="44" ht="13.65" customHeight="1">
      <c r="A44" t="s" s="2">
        <v>237</v>
      </c>
      <c r="B44" s="12">
        <f t="shared" si="175" ref="B44:R44">180/25</f>
        <v>7.2</v>
      </c>
      <c r="C44" s="12">
        <f>D42*B44</f>
        <v>752.4</v>
      </c>
      <c r="D44" s="3"/>
      <c r="E44" s="3"/>
      <c r="F44" s="3"/>
      <c r="G44" t="s" s="2">
        <v>237</v>
      </c>
      <c r="H44" s="12">
        <f t="shared" si="175"/>
        <v>7.2</v>
      </c>
      <c r="I44" s="12">
        <f>J42*H44</f>
        <v>752.4</v>
      </c>
      <c r="J44" s="3"/>
      <c r="K44" s="3"/>
      <c r="L44" t="s" s="2">
        <v>237</v>
      </c>
      <c r="M44" s="12">
        <f t="shared" si="175"/>
        <v>7.2</v>
      </c>
      <c r="N44" s="12">
        <f>O42*M44</f>
        <v>752.4</v>
      </c>
      <c r="O44" s="3"/>
      <c r="P44" s="3"/>
      <c r="Q44" t="s" s="74">
        <v>237</v>
      </c>
      <c r="R44" s="75">
        <f t="shared" si="175"/>
        <v>7.2</v>
      </c>
      <c r="S44" s="75">
        <f>T42*R44</f>
        <v>752.4</v>
      </c>
      <c r="T44" s="75"/>
      <c r="U44" s="34">
        <f>S44</f>
        <v>752.4</v>
      </c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</row>
    <row r="45" ht="13.65" customHeight="1">
      <c r="A45" t="s" s="2">
        <v>271</v>
      </c>
      <c r="B45" s="12">
        <f>400*0.03</f>
        <v>12</v>
      </c>
      <c r="C45" s="12">
        <f>B45*330</f>
        <v>3960</v>
      </c>
      <c r="D45" t="s" s="2">
        <v>272</v>
      </c>
      <c r="E45" s="3"/>
      <c r="F45" s="3"/>
      <c r="G45" t="s" s="2">
        <v>273</v>
      </c>
      <c r="H45" s="3"/>
      <c r="I45" s="12">
        <f t="shared" si="186" ref="I45:S45">3500</f>
        <v>3500</v>
      </c>
      <c r="J45" t="s" s="2">
        <v>274</v>
      </c>
      <c r="K45" s="3"/>
      <c r="L45" t="s" s="2">
        <v>273</v>
      </c>
      <c r="M45" s="3"/>
      <c r="N45" s="12">
        <f t="shared" si="186"/>
        <v>3500</v>
      </c>
      <c r="O45" t="s" s="2">
        <v>274</v>
      </c>
      <c r="P45" s="3"/>
      <c r="Q45" t="s" s="74">
        <v>273</v>
      </c>
      <c r="R45" s="75">
        <f>S45/330</f>
        <v>10.60606060606061</v>
      </c>
      <c r="S45" s="75">
        <f t="shared" si="186"/>
        <v>3500</v>
      </c>
      <c r="T45" t="s" s="74">
        <v>274</v>
      </c>
      <c r="U45" s="34">
        <f>R45*220</f>
        <v>2333.333333333333</v>
      </c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</row>
    <row r="46" ht="13.65" customHeight="1">
      <c r="A46" t="s" s="2">
        <v>251</v>
      </c>
      <c r="B46" s="12">
        <v>100</v>
      </c>
      <c r="C46" s="12">
        <f>B46*330</f>
        <v>33000</v>
      </c>
      <c r="D46" s="3"/>
      <c r="E46" s="3"/>
      <c r="F46" s="3"/>
      <c r="G46" t="s" s="2">
        <v>251</v>
      </c>
      <c r="H46" s="12">
        <v>40</v>
      </c>
      <c r="I46" s="12">
        <f>H46*330</f>
        <v>13200</v>
      </c>
      <c r="J46" s="3"/>
      <c r="K46" s="3"/>
      <c r="L46" t="s" s="2">
        <v>251</v>
      </c>
      <c r="M46" s="12">
        <v>40</v>
      </c>
      <c r="N46" s="12">
        <f>M46*330</f>
        <v>13200</v>
      </c>
      <c r="O46" s="3"/>
      <c r="P46" s="3"/>
      <c r="Q46" t="s" s="74">
        <v>251</v>
      </c>
      <c r="R46" s="75">
        <v>40</v>
      </c>
      <c r="S46" s="75">
        <f>R46*330</f>
        <v>13200</v>
      </c>
      <c r="T46" s="75"/>
      <c r="U46" s="34">
        <f>S46</f>
        <v>13200</v>
      </c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</row>
    <row r="47" ht="13.65" customHeight="1">
      <c r="A47" t="s" s="2">
        <v>128</v>
      </c>
      <c r="B47" s="12">
        <f t="shared" si="196" ref="B47:H47">300/70</f>
        <v>4.285714285714286</v>
      </c>
      <c r="C47" s="12">
        <f>B47*350</f>
        <v>1500</v>
      </c>
      <c r="D47" t="s" s="2">
        <v>244</v>
      </c>
      <c r="E47" s="3"/>
      <c r="F47" s="3"/>
      <c r="G47" t="s" s="2">
        <v>128</v>
      </c>
      <c r="H47" s="12">
        <f t="shared" si="196"/>
        <v>4.285714285714286</v>
      </c>
      <c r="I47" s="12">
        <f>H47*350</f>
        <v>1500</v>
      </c>
      <c r="J47" t="s" s="2">
        <v>244</v>
      </c>
      <c r="K47" s="3"/>
      <c r="L47" t="s" s="2">
        <v>128</v>
      </c>
      <c r="M47" s="12">
        <f>350/70</f>
        <v>5</v>
      </c>
      <c r="N47" s="12">
        <f>M47*350</f>
        <v>1750</v>
      </c>
      <c r="O47" t="s" s="2">
        <v>244</v>
      </c>
      <c r="P47" s="3"/>
      <c r="Q47" t="s" s="74">
        <v>128</v>
      </c>
      <c r="R47" s="75">
        <f>350/70</f>
        <v>5</v>
      </c>
      <c r="S47" s="75">
        <f>R47*350</f>
        <v>1750</v>
      </c>
      <c r="T47" t="s" s="74">
        <v>244</v>
      </c>
      <c r="U47" s="34">
        <f>S47</f>
        <v>1750</v>
      </c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</row>
    <row r="48" ht="13.65" customHeight="1">
      <c r="A48" t="s" s="2">
        <v>243</v>
      </c>
      <c r="B48" s="12">
        <f t="shared" si="205" ref="B48:H48">400/8</f>
        <v>50</v>
      </c>
      <c r="C48" s="12">
        <f>B48*330</f>
        <v>16500</v>
      </c>
      <c r="D48" s="3"/>
      <c r="E48" s="3"/>
      <c r="F48" s="3"/>
      <c r="G48" t="s" s="2">
        <v>243</v>
      </c>
      <c r="H48" s="12">
        <f t="shared" si="205"/>
        <v>50</v>
      </c>
      <c r="I48" s="12">
        <f>H48*330</f>
        <v>16500</v>
      </c>
      <c r="J48" s="3"/>
      <c r="K48" s="3"/>
      <c r="L48" s="12"/>
      <c r="M48" s="12"/>
      <c r="N48" s="3"/>
      <c r="O48" s="3"/>
      <c r="P48" s="3"/>
      <c r="Q48" s="75"/>
      <c r="R48" s="75"/>
      <c r="S48" s="75"/>
      <c r="T48" s="75"/>
      <c r="U48" s="34">
        <f>R48*220</f>
        <v>0</v>
      </c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</row>
    <row r="49" ht="13.65" customHeight="1">
      <c r="A49" s="12"/>
      <c r="B49" s="12"/>
      <c r="C49" s="12">
        <f>B49*330</f>
        <v>0</v>
      </c>
      <c r="D49" s="3"/>
      <c r="E49" s="3"/>
      <c r="F49" s="3"/>
      <c r="G49" s="12"/>
      <c r="H49" s="12"/>
      <c r="I49" s="12">
        <f>H49*330</f>
        <v>0</v>
      </c>
      <c r="J49" s="3"/>
      <c r="K49" s="3"/>
      <c r="L49" s="12"/>
      <c r="M49" s="12"/>
      <c r="N49" s="12">
        <f>M49*330</f>
        <v>0</v>
      </c>
      <c r="O49" s="3"/>
      <c r="P49" s="3"/>
      <c r="Q49" s="75"/>
      <c r="R49" s="75"/>
      <c r="S49" s="75">
        <f>R49*330</f>
        <v>0</v>
      </c>
      <c r="T49" s="75"/>
      <c r="U49" s="34">
        <f>R49*220</f>
        <v>0</v>
      </c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</row>
    <row r="50" ht="13.65" customHeight="1">
      <c r="A50" s="3"/>
      <c r="B50" s="12"/>
      <c r="C50" s="12">
        <f>B50*330</f>
        <v>0</v>
      </c>
      <c r="D50" s="3"/>
      <c r="E50" s="3"/>
      <c r="F50" s="3"/>
      <c r="G50" s="3"/>
      <c r="H50" s="12"/>
      <c r="I50" s="12">
        <f>H50*330</f>
        <v>0</v>
      </c>
      <c r="J50" s="3"/>
      <c r="K50" s="3"/>
      <c r="L50" s="3"/>
      <c r="M50" s="12"/>
      <c r="N50" s="12">
        <f>M50*330</f>
        <v>0</v>
      </c>
      <c r="O50" s="3"/>
      <c r="P50" s="3"/>
      <c r="Q50" s="75"/>
      <c r="R50" s="75"/>
      <c r="S50" s="75">
        <f>R50*330</f>
        <v>0</v>
      </c>
      <c r="T50" s="75"/>
      <c r="U50" s="34">
        <f>R50*220</f>
        <v>0</v>
      </c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</row>
    <row r="51" ht="13.65" customHeight="1">
      <c r="A51" t="s" s="2">
        <v>107</v>
      </c>
      <c r="B51" s="12">
        <f>SUM(B36:B50)</f>
        <v>416.420496894410</v>
      </c>
      <c r="C51" s="12">
        <f>SUM(C36:C50)</f>
        <v>142519.0847826087</v>
      </c>
      <c r="D51" s="3"/>
      <c r="E51" s="3"/>
      <c r="F51" s="3"/>
      <c r="G51" t="s" s="2">
        <v>107</v>
      </c>
      <c r="H51" s="12">
        <f>SUM(H36:H50)</f>
        <v>344.420496894410</v>
      </c>
      <c r="I51" s="12">
        <f>SUM(I36:I50)</f>
        <v>122259.0847826087</v>
      </c>
      <c r="J51" s="3"/>
      <c r="K51" s="3"/>
      <c r="L51" t="s" s="2">
        <v>107</v>
      </c>
      <c r="M51" s="12">
        <f>SUM(M36:M50)</f>
        <v>295.1347826086957</v>
      </c>
      <c r="N51" s="12">
        <f>SUM(N36:N50)</f>
        <v>106009.0847826087</v>
      </c>
      <c r="O51" s="3"/>
      <c r="P51" s="3"/>
      <c r="Q51" t="s" s="74">
        <v>107</v>
      </c>
      <c r="R51" s="75">
        <f>SUM(R36:R50)</f>
        <v>295.7360606060606</v>
      </c>
      <c r="S51" s="75">
        <f>SUM(S36:S50)</f>
        <v>102708.585</v>
      </c>
      <c r="T51" s="75"/>
      <c r="U51" s="34">
        <f>SUM(U36:U50)</f>
        <v>75941.918333333335</v>
      </c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5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3.45" customHeight="1" outlineLevelRow="0" outlineLevelCol="0"/>
  <cols>
    <col min="1" max="1" width="16.3516" style="76" customWidth="1"/>
    <col min="2" max="2" width="16.3516" style="76" customWidth="1"/>
    <col min="3" max="3" width="16.3516" style="76" customWidth="1"/>
    <col min="4" max="4" width="16.3516" style="76" customWidth="1"/>
    <col min="5" max="5" width="16.3516" style="76" customWidth="1"/>
    <col min="6" max="6" width="16.3516" style="76" customWidth="1"/>
    <col min="7" max="7" width="16.3516" style="76" customWidth="1"/>
    <col min="8" max="8" width="16.3516" style="76" customWidth="1"/>
    <col min="9" max="9" width="16.3516" style="76" customWidth="1"/>
    <col min="10" max="10" width="16.3516" style="76" customWidth="1"/>
    <col min="11" max="11" width="16.3516" style="76" customWidth="1"/>
    <col min="12" max="12" width="16.3516" style="76" customWidth="1"/>
    <col min="13" max="13" width="16.3516" style="76" customWidth="1"/>
    <col min="14" max="256" width="16.3516" style="76" customWidth="1"/>
  </cols>
  <sheetData>
    <row r="1" ht="13.2" customHeight="1">
      <c r="A1" s="77"/>
      <c r="B1" t="s" s="78">
        <v>275</v>
      </c>
      <c r="C1" t="s" s="78">
        <v>276</v>
      </c>
      <c r="D1" t="s" s="78">
        <v>277</v>
      </c>
      <c r="E1" t="s" s="78">
        <v>278</v>
      </c>
      <c r="F1" t="s" s="78">
        <v>279</v>
      </c>
      <c r="G1" t="s" s="78">
        <v>280</v>
      </c>
      <c r="H1" t="s" s="78">
        <v>281</v>
      </c>
      <c r="I1" t="s" s="78">
        <v>282</v>
      </c>
      <c r="J1" t="s" s="78">
        <v>283</v>
      </c>
      <c r="K1" t="s" s="78">
        <v>284</v>
      </c>
      <c r="L1" t="s" s="78">
        <v>285</v>
      </c>
      <c r="M1" t="s" s="78">
        <v>286</v>
      </c>
    </row>
    <row r="2" ht="13.2" customHeight="1">
      <c r="A2" s="79"/>
      <c r="B2" s="80">
        <v>151.5</v>
      </c>
      <c r="C2" s="81"/>
      <c r="D2" s="82">
        <v>510</v>
      </c>
      <c r="E2" t="s" s="83">
        <v>287</v>
      </c>
      <c r="F2" s="81"/>
      <c r="G2" s="81"/>
      <c r="H2" s="84">
        <v>309</v>
      </c>
      <c r="I2" s="84">
        <v>14</v>
      </c>
      <c r="J2" s="84">
        <f>H2*I2</f>
        <v>4326</v>
      </c>
      <c r="K2" s="84">
        <v>300</v>
      </c>
      <c r="L2" s="84">
        <v>14</v>
      </c>
      <c r="M2" s="84">
        <f>L2*K2</f>
        <v>4200</v>
      </c>
    </row>
    <row r="3" ht="13" customHeight="1">
      <c r="A3" s="85"/>
      <c r="B3" s="86">
        <v>360</v>
      </c>
      <c r="C3" s="87"/>
      <c r="D3" s="88">
        <v>361</v>
      </c>
      <c r="E3" s="89">
        <v>12</v>
      </c>
      <c r="F3" s="89">
        <f>D3*E3</f>
        <v>4332</v>
      </c>
      <c r="G3" s="87"/>
      <c r="H3" s="89">
        <v>146</v>
      </c>
      <c r="I3" s="89">
        <v>14</v>
      </c>
      <c r="J3" s="89">
        <f>H3*I3</f>
        <v>2044</v>
      </c>
      <c r="K3" s="89">
        <v>190</v>
      </c>
      <c r="L3" s="89">
        <v>14</v>
      </c>
      <c r="M3" s="89">
        <f>L3*K3</f>
        <v>2660</v>
      </c>
    </row>
    <row r="4" ht="13" customHeight="1">
      <c r="A4" s="85"/>
      <c r="B4" s="86">
        <v>194</v>
      </c>
      <c r="C4" s="87"/>
      <c r="D4" s="88">
        <v>361</v>
      </c>
      <c r="E4" s="89">
        <v>12</v>
      </c>
      <c r="F4" s="89">
        <f>D4*E4</f>
        <v>4332</v>
      </c>
      <c r="G4" s="87"/>
      <c r="H4" s="89">
        <v>117</v>
      </c>
      <c r="I4" s="89">
        <v>15</v>
      </c>
      <c r="J4" s="89">
        <f>H4*I4</f>
        <v>1755</v>
      </c>
      <c r="K4" s="89">
        <v>60</v>
      </c>
      <c r="L4" s="89">
        <v>15</v>
      </c>
      <c r="M4" s="89">
        <f>L4*K4</f>
        <v>900</v>
      </c>
    </row>
    <row r="5" ht="13" customHeight="1">
      <c r="A5" s="85"/>
      <c r="B5" s="86">
        <v>211.5</v>
      </c>
      <c r="C5" s="87"/>
      <c r="D5" s="87"/>
      <c r="E5" s="87"/>
      <c r="F5" s="87"/>
      <c r="G5" s="87"/>
      <c r="H5" s="89">
        <v>193</v>
      </c>
      <c r="I5" s="89">
        <v>14</v>
      </c>
      <c r="J5" s="89">
        <f>H5*I5</f>
        <v>2702</v>
      </c>
      <c r="K5" s="89">
        <v>72.5</v>
      </c>
      <c r="L5" s="89">
        <v>14</v>
      </c>
      <c r="M5" s="89">
        <f>L5*K5</f>
        <v>1015</v>
      </c>
    </row>
    <row r="6" ht="13" customHeight="1">
      <c r="A6" s="85"/>
      <c r="B6" s="86">
        <v>251</v>
      </c>
      <c r="C6" s="87"/>
      <c r="D6" s="87"/>
      <c r="E6" s="87"/>
      <c r="F6" s="87"/>
      <c r="G6" s="87"/>
      <c r="H6" s="89">
        <v>60</v>
      </c>
      <c r="I6" s="89">
        <v>13</v>
      </c>
      <c r="J6" s="89">
        <f>H6*I6</f>
        <v>780</v>
      </c>
      <c r="K6" s="87"/>
      <c r="L6" s="87"/>
      <c r="M6" s="89">
        <f>L6*K6</f>
        <v>0</v>
      </c>
    </row>
    <row r="7" ht="13" customHeight="1">
      <c r="A7" s="85"/>
      <c r="B7" s="86">
        <v>271</v>
      </c>
      <c r="C7" s="87"/>
      <c r="D7" s="90">
        <v>271</v>
      </c>
      <c r="E7" t="s" s="91">
        <v>288</v>
      </c>
      <c r="F7" s="87"/>
      <c r="G7" s="87"/>
      <c r="H7" s="89">
        <v>110</v>
      </c>
      <c r="I7" s="89">
        <v>13</v>
      </c>
      <c r="J7" s="89">
        <f>H7*I7</f>
        <v>1430</v>
      </c>
      <c r="K7" s="89">
        <v>160</v>
      </c>
      <c r="L7" s="89">
        <v>14</v>
      </c>
      <c r="M7" s="89">
        <f>L7*K7</f>
        <v>2240</v>
      </c>
    </row>
    <row r="8" ht="13" customHeight="1">
      <c r="A8" s="85"/>
      <c r="B8" s="86">
        <v>250</v>
      </c>
      <c r="C8" s="87"/>
      <c r="D8" s="90">
        <v>250</v>
      </c>
      <c r="E8" t="s" s="91">
        <v>288</v>
      </c>
      <c r="F8" s="87"/>
      <c r="G8" s="87"/>
      <c r="H8" s="89">
        <v>160</v>
      </c>
      <c r="I8" s="89">
        <v>12</v>
      </c>
      <c r="J8" s="89">
        <f>H8*I8</f>
        <v>1920</v>
      </c>
      <c r="K8" s="89">
        <v>36</v>
      </c>
      <c r="L8" s="89">
        <v>13</v>
      </c>
      <c r="M8" s="89">
        <f>L8*K8</f>
        <v>468</v>
      </c>
    </row>
    <row r="9" ht="13" customHeight="1">
      <c r="A9" s="85"/>
      <c r="B9" s="86">
        <v>266.5</v>
      </c>
      <c r="C9" s="87"/>
      <c r="D9" s="90">
        <v>266.5</v>
      </c>
      <c r="E9" t="s" s="91">
        <v>288</v>
      </c>
      <c r="F9" s="87"/>
      <c r="G9" s="87"/>
      <c r="H9" s="87"/>
      <c r="I9" s="87"/>
      <c r="J9" s="87"/>
      <c r="K9" s="89">
        <v>130</v>
      </c>
      <c r="L9" s="89">
        <v>13</v>
      </c>
      <c r="M9" s="89">
        <f>L9*K9</f>
        <v>1690</v>
      </c>
    </row>
    <row r="10" ht="13" customHeight="1">
      <c r="A10" s="85"/>
      <c r="B10" s="86">
        <v>310</v>
      </c>
      <c r="C10" s="87"/>
      <c r="D10" s="90">
        <v>310</v>
      </c>
      <c r="E10" t="s" s="91">
        <v>288</v>
      </c>
      <c r="F10" s="87"/>
      <c r="G10" s="87"/>
      <c r="H10" s="87"/>
      <c r="I10" s="87"/>
      <c r="J10" s="87"/>
      <c r="K10" s="89">
        <v>144</v>
      </c>
      <c r="L10" s="89">
        <v>12</v>
      </c>
      <c r="M10" s="89">
        <f>L10*K10</f>
        <v>1728</v>
      </c>
    </row>
    <row r="11" ht="13" customHeight="1">
      <c r="A11" s="85"/>
      <c r="B11" s="86">
        <v>339</v>
      </c>
      <c r="C11" s="87"/>
      <c r="D11" s="92">
        <v>339</v>
      </c>
      <c r="E11" s="89">
        <v>14</v>
      </c>
      <c r="F11" s="89">
        <f>D11*E11</f>
        <v>4746</v>
      </c>
      <c r="G11" s="87"/>
      <c r="H11" s="87"/>
      <c r="I11" s="87"/>
      <c r="J11" s="87"/>
      <c r="K11" s="87"/>
      <c r="L11" s="87"/>
      <c r="M11" s="87"/>
    </row>
    <row r="12" ht="13" customHeight="1">
      <c r="A12" s="85"/>
      <c r="B12" s="86">
        <v>408</v>
      </c>
      <c r="C12" s="87"/>
      <c r="D12" s="92">
        <v>253</v>
      </c>
      <c r="E12" s="89">
        <v>14</v>
      </c>
      <c r="F12" s="89">
        <f>D12*E12</f>
        <v>3542</v>
      </c>
      <c r="G12" s="87"/>
      <c r="H12" s="87"/>
      <c r="I12" s="87"/>
      <c r="J12" s="87"/>
      <c r="K12" s="87"/>
      <c r="L12" s="87"/>
      <c r="M12" s="87"/>
    </row>
    <row r="13" ht="13" customHeight="1">
      <c r="A13" s="85"/>
      <c r="B13" s="86">
        <v>160</v>
      </c>
      <c r="C13" s="87"/>
      <c r="D13" s="93">
        <v>300</v>
      </c>
      <c r="E13" t="s" s="91">
        <v>287</v>
      </c>
      <c r="F13" s="87"/>
      <c r="G13" s="87"/>
      <c r="H13" s="87"/>
      <c r="I13" s="87"/>
      <c r="J13" s="87"/>
      <c r="K13" s="87"/>
      <c r="L13" s="87"/>
      <c r="M13" s="87"/>
    </row>
    <row r="14" ht="13" customHeight="1">
      <c r="A14" s="85"/>
      <c r="B14" s="86">
        <v>371</v>
      </c>
      <c r="C14" s="87"/>
      <c r="D14" s="93">
        <v>250</v>
      </c>
      <c r="E14" t="s" s="91">
        <v>287</v>
      </c>
      <c r="F14" s="87"/>
      <c r="G14" s="87"/>
      <c r="H14" s="87"/>
      <c r="I14" s="87"/>
      <c r="J14" s="87"/>
      <c r="K14" s="87"/>
      <c r="L14" s="87"/>
      <c r="M14" s="87"/>
    </row>
    <row r="15" ht="13" customHeight="1">
      <c r="A15" s="85"/>
      <c r="B15" s="94"/>
      <c r="C15" s="87"/>
      <c r="D15" s="93">
        <v>52</v>
      </c>
      <c r="E15" t="s" s="91">
        <v>287</v>
      </c>
      <c r="F15" s="87"/>
      <c r="G15" s="87"/>
      <c r="H15" s="87"/>
      <c r="I15" s="87"/>
      <c r="J15" s="87"/>
      <c r="K15" s="87"/>
      <c r="L15" s="87"/>
      <c r="M15" s="87"/>
    </row>
    <row r="16" ht="13" customHeight="1">
      <c r="A16" s="85"/>
      <c r="B16" s="94"/>
      <c r="C16" s="87"/>
      <c r="D16" s="95">
        <v>108</v>
      </c>
      <c r="E16" s="89">
        <v>14</v>
      </c>
      <c r="F16" s="89">
        <f>D16*E16</f>
        <v>1512</v>
      </c>
      <c r="G16" s="87"/>
      <c r="H16" s="87"/>
      <c r="I16" s="87"/>
      <c r="J16" s="87"/>
      <c r="K16" s="87"/>
      <c r="L16" s="87"/>
      <c r="M16" s="87"/>
    </row>
    <row r="17" ht="13" customHeight="1">
      <c r="A17" s="85"/>
      <c r="B17" s="94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</row>
    <row r="18" ht="13" customHeight="1">
      <c r="A18" s="85"/>
      <c r="B18" s="86">
        <f>SUM(B2:B17)</f>
        <v>3543.5</v>
      </c>
      <c r="C18" s="89">
        <f>SUM(C2:C17)</f>
        <v>0</v>
      </c>
      <c r="D18" s="89">
        <f>SUM(D2:D17)</f>
        <v>3631.5</v>
      </c>
      <c r="E18" s="89">
        <f>SUM(E2:E17)</f>
        <v>66</v>
      </c>
      <c r="F18" s="89">
        <f>SUM(F2:F17)</f>
        <v>18464</v>
      </c>
      <c r="G18" s="89">
        <f>SUM(G2:G17)</f>
        <v>0</v>
      </c>
      <c r="H18" s="89">
        <f>SUM(H2:H17)</f>
        <v>1095</v>
      </c>
      <c r="I18" s="89">
        <f>SUM(I2:I17)</f>
        <v>95</v>
      </c>
      <c r="J18" s="89">
        <f>SUM(J2:J17)</f>
        <v>14957</v>
      </c>
      <c r="K18" s="89">
        <f>SUM(K2:K17)</f>
        <v>1092.5</v>
      </c>
      <c r="L18" s="89">
        <f>SUM(L2:L17)</f>
        <v>109</v>
      </c>
      <c r="M18" s="89">
        <f>SUM(M2:M17)</f>
        <v>14901</v>
      </c>
    </row>
    <row r="19" ht="13" customHeight="1">
      <c r="A19" s="85"/>
      <c r="B19" s="86">
        <f>SUM(B18*14)</f>
        <v>49609</v>
      </c>
      <c r="C19" s="87"/>
      <c r="D19" s="87"/>
      <c r="E19" s="87"/>
      <c r="F19" s="87"/>
      <c r="G19" s="87"/>
      <c r="H19" s="87"/>
      <c r="I19" s="87"/>
      <c r="J19" t="s" s="91">
        <v>289</v>
      </c>
      <c r="K19" s="87"/>
      <c r="L19" s="87"/>
      <c r="M19" t="s" s="91">
        <v>289</v>
      </c>
    </row>
    <row r="20" ht="13" customHeight="1">
      <c r="A20" s="85"/>
      <c r="B20" t="s" s="96">
        <v>289</v>
      </c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</row>
    <row r="21" ht="13" customHeight="1">
      <c r="A21" s="85"/>
      <c r="B21" s="94"/>
      <c r="C21" s="87"/>
      <c r="D21" s="87"/>
      <c r="E21" s="87"/>
      <c r="F21" s="87"/>
      <c r="G21" s="87"/>
      <c r="H21" t="s" s="97">
        <v>290</v>
      </c>
      <c r="I21" s="88"/>
      <c r="J21" s="87"/>
      <c r="K21" s="87"/>
      <c r="L21" s="87"/>
      <c r="M21" s="87"/>
    </row>
    <row r="22" ht="14.3" customHeight="1">
      <c r="A22" s="85"/>
      <c r="B22" s="94"/>
      <c r="C22" s="87"/>
      <c r="D22" s="87"/>
      <c r="E22" s="87"/>
      <c r="F22" s="89">
        <f>11*21</f>
        <v>231</v>
      </c>
      <c r="G22" s="87"/>
      <c r="H22" s="98">
        <f>F18+J18+M18+B19</f>
        <v>97931</v>
      </c>
      <c r="I22" t="s" s="99">
        <v>289</v>
      </c>
      <c r="J22" s="100"/>
      <c r="K22" s="87"/>
      <c r="L22" s="87"/>
      <c r="M22" s="87"/>
    </row>
    <row r="23" ht="14.3" customHeight="1">
      <c r="A23" s="85"/>
      <c r="B23" s="94"/>
      <c r="C23" s="87"/>
      <c r="D23" s="87"/>
      <c r="E23" s="87"/>
      <c r="F23" s="89">
        <f>12*21</f>
        <v>252</v>
      </c>
      <c r="G23" s="101"/>
      <c r="H23" s="102">
        <f>H22*21</f>
        <v>2056551</v>
      </c>
      <c r="I23" t="s" s="103">
        <v>291</v>
      </c>
      <c r="J23" s="104"/>
      <c r="K23" s="105"/>
      <c r="L23" s="87"/>
      <c r="M23" s="87"/>
    </row>
    <row r="24" ht="13" customHeight="1">
      <c r="A24" s="85"/>
      <c r="B24" s="94"/>
      <c r="C24" s="87"/>
      <c r="D24" s="87"/>
      <c r="E24" s="87"/>
      <c r="F24" s="89">
        <f>13*21</f>
        <v>273</v>
      </c>
      <c r="G24" s="101"/>
      <c r="H24" s="106">
        <f>H23/10000</f>
        <v>205.6551</v>
      </c>
      <c r="I24" t="s" s="107">
        <v>292</v>
      </c>
      <c r="J24" s="108"/>
      <c r="K24" s="105"/>
      <c r="L24" s="87"/>
      <c r="M24" s="87"/>
    </row>
    <row r="25" ht="13" customHeight="1">
      <c r="A25" s="85"/>
      <c r="B25" t="s" s="96">
        <v>293</v>
      </c>
      <c r="C25" s="87"/>
      <c r="D25" s="87"/>
      <c r="E25" s="87"/>
      <c r="F25" s="89">
        <f>14*21</f>
        <v>294</v>
      </c>
      <c r="G25" s="101"/>
      <c r="H25" s="106">
        <f>H24-H48</f>
        <v>205.6551</v>
      </c>
      <c r="I25" t="s" s="107">
        <v>294</v>
      </c>
      <c r="J25" s="109"/>
      <c r="K25" s="105"/>
      <c r="L25" s="87"/>
      <c r="M25" s="87"/>
    </row>
    <row r="26" ht="13" customHeight="1">
      <c r="A26" s="85"/>
      <c r="B26" s="94"/>
      <c r="C26" t="s" s="91">
        <v>295</v>
      </c>
      <c r="D26" t="s" s="91">
        <v>296</v>
      </c>
      <c r="E26" t="s" s="91">
        <v>297</v>
      </c>
      <c r="F26" t="s" s="91">
        <v>298</v>
      </c>
      <c r="G26" t="s" s="110">
        <v>299</v>
      </c>
      <c r="H26" s="106">
        <f>H25/0.21</f>
        <v>979.3100000000001</v>
      </c>
      <c r="I26" t="s" s="107">
        <v>300</v>
      </c>
      <c r="J26" s="109"/>
      <c r="K26" s="105"/>
      <c r="L26" s="87"/>
      <c r="M26" s="87"/>
    </row>
    <row r="27" ht="13" customHeight="1">
      <c r="A27" s="85"/>
      <c r="B27" t="s" s="96">
        <v>301</v>
      </c>
      <c r="C27" s="89"/>
      <c r="D27" s="89"/>
      <c r="E27" s="89"/>
      <c r="F27" s="89"/>
      <c r="G27" s="101"/>
      <c r="H27" s="106">
        <f>H26*2</f>
        <v>1958.62</v>
      </c>
      <c r="I27" t="s" s="107">
        <v>302</v>
      </c>
      <c r="J27" t="s" s="111">
        <v>303</v>
      </c>
      <c r="K27" s="105"/>
      <c r="L27" s="87"/>
      <c r="M27" s="87"/>
    </row>
    <row r="28" ht="13" customHeight="1">
      <c r="A28" s="85"/>
      <c r="B28" t="s" s="96">
        <v>304</v>
      </c>
      <c r="C28" s="89">
        <v>3636</v>
      </c>
      <c r="D28" s="89">
        <v>1067</v>
      </c>
      <c r="E28" s="89">
        <v>1067</v>
      </c>
      <c r="F28" s="89">
        <v>2</v>
      </c>
      <c r="G28" s="112">
        <f>D28*E28/1000000*F28</f>
        <v>2.276978</v>
      </c>
      <c r="H28" s="106">
        <f>1650/60</f>
        <v>27.5</v>
      </c>
      <c r="I28" t="s" s="107">
        <v>305</v>
      </c>
      <c r="J28" s="109"/>
      <c r="K28" s="105"/>
      <c r="L28" s="87"/>
      <c r="M28" s="87"/>
    </row>
    <row r="29" ht="14.3" customHeight="1">
      <c r="A29" s="85"/>
      <c r="B29" t="s" s="96">
        <v>306</v>
      </c>
      <c r="C29" t="s" s="91">
        <v>307</v>
      </c>
      <c r="D29" s="89">
        <v>610</v>
      </c>
      <c r="E29" s="89">
        <v>610</v>
      </c>
      <c r="F29" s="89">
        <v>2</v>
      </c>
      <c r="G29" s="112">
        <f>D29*E29/1000000*F29</f>
        <v>0.7442</v>
      </c>
      <c r="H29" s="113">
        <f>1650/45.45</f>
        <v>36.3036303630363</v>
      </c>
      <c r="I29" t="s" s="114">
        <v>308</v>
      </c>
      <c r="J29" s="115"/>
      <c r="K29" s="105"/>
      <c r="L29" s="87"/>
      <c r="M29" s="87"/>
    </row>
    <row r="30" ht="14.3" customHeight="1">
      <c r="A30" s="85"/>
      <c r="B30" s="94"/>
      <c r="C30" s="87"/>
      <c r="D30" s="87"/>
      <c r="E30" s="87"/>
      <c r="F30" s="87"/>
      <c r="G30" s="89">
        <f>D30*E30/1000000*F30</f>
        <v>0</v>
      </c>
      <c r="H30" s="116"/>
      <c r="I30" s="116"/>
      <c r="J30" s="116"/>
      <c r="K30" s="87"/>
      <c r="L30" s="87"/>
      <c r="M30" s="87"/>
    </row>
    <row r="31" ht="14.3" customHeight="1">
      <c r="A31" s="85"/>
      <c r="B31" t="s" s="96">
        <v>309</v>
      </c>
      <c r="C31" s="89">
        <v>6020</v>
      </c>
      <c r="D31" s="89">
        <v>1829</v>
      </c>
      <c r="E31" s="89">
        <v>610</v>
      </c>
      <c r="F31" s="89">
        <v>1</v>
      </c>
      <c r="G31" s="89">
        <f>D31*E31/1000000*F31</f>
        <v>1.11569</v>
      </c>
      <c r="H31" s="117"/>
      <c r="I31" s="117"/>
      <c r="J31" s="117"/>
      <c r="K31" s="117"/>
      <c r="L31" s="87"/>
      <c r="M31" s="87"/>
    </row>
    <row r="32" ht="14.3" customHeight="1">
      <c r="A32" s="85"/>
      <c r="B32" t="s" s="96">
        <v>310</v>
      </c>
      <c r="C32" t="s" s="91">
        <v>311</v>
      </c>
      <c r="D32" s="89">
        <v>1829</v>
      </c>
      <c r="E32" s="89">
        <v>1372</v>
      </c>
      <c r="F32" s="89">
        <v>2</v>
      </c>
      <c r="G32" s="118">
        <f>D32*E32/1000000*F32</f>
        <v>5.018776</v>
      </c>
      <c r="H32" s="119"/>
      <c r="I32" t="s" s="120">
        <v>312</v>
      </c>
      <c r="J32" s="121"/>
      <c r="K32" s="122"/>
      <c r="L32" s="123"/>
      <c r="M32" s="87"/>
    </row>
    <row r="33" ht="14.3" customHeight="1">
      <c r="A33" s="85"/>
      <c r="B33" t="s" s="96">
        <v>313</v>
      </c>
      <c r="C33" t="s" s="91">
        <v>311</v>
      </c>
      <c r="D33" s="89">
        <v>1829</v>
      </c>
      <c r="E33" s="89">
        <v>1372</v>
      </c>
      <c r="F33" s="89">
        <v>1</v>
      </c>
      <c r="G33" s="118">
        <f>D33*E33/1000000*F33</f>
        <v>2.509388</v>
      </c>
      <c r="H33" s="124"/>
      <c r="I33" s="89">
        <f>B19</f>
        <v>49609</v>
      </c>
      <c r="J33" t="s" s="99">
        <v>289</v>
      </c>
      <c r="K33" s="118"/>
      <c r="L33" s="123"/>
      <c r="M33" s="87"/>
    </row>
    <row r="34" ht="14.3" customHeight="1">
      <c r="A34" s="85"/>
      <c r="B34" t="s" s="96">
        <v>314</v>
      </c>
      <c r="C34" t="s" s="91">
        <v>315</v>
      </c>
      <c r="D34" s="89">
        <v>2438</v>
      </c>
      <c r="E34" s="89">
        <v>1829</v>
      </c>
      <c r="F34" s="89">
        <v>1</v>
      </c>
      <c r="G34" s="118">
        <f>D34*E34/1000000*F34</f>
        <v>4.459102</v>
      </c>
      <c r="H34" s="124"/>
      <c r="I34" s="89">
        <f>I33*21</f>
        <v>1041789</v>
      </c>
      <c r="J34" t="s" s="103">
        <v>291</v>
      </c>
      <c r="K34" s="118"/>
      <c r="L34" s="123"/>
      <c r="M34" s="87"/>
    </row>
    <row r="35" ht="13" customHeight="1">
      <c r="A35" s="85"/>
      <c r="B35" t="s" s="96">
        <v>316</v>
      </c>
      <c r="C35" t="s" s="91">
        <v>317</v>
      </c>
      <c r="D35" s="89">
        <v>1829</v>
      </c>
      <c r="E35" s="89">
        <v>2438</v>
      </c>
      <c r="F35" s="89">
        <v>1</v>
      </c>
      <c r="G35" s="118">
        <f>D35*E35/1000000*F35</f>
        <v>4.459102</v>
      </c>
      <c r="H35" s="124"/>
      <c r="I35" s="89">
        <f>I34/10000</f>
        <v>104.1789</v>
      </c>
      <c r="J35" t="s" s="107">
        <v>292</v>
      </c>
      <c r="K35" s="118"/>
      <c r="L35" s="123"/>
      <c r="M35" s="87"/>
    </row>
    <row r="36" ht="13" customHeight="1">
      <c r="A36" s="85"/>
      <c r="B36" t="s" s="96">
        <v>318</v>
      </c>
      <c r="C36" s="87"/>
      <c r="D36" s="89">
        <v>950</v>
      </c>
      <c r="E36" s="89">
        <v>2150</v>
      </c>
      <c r="F36" s="89">
        <v>1</v>
      </c>
      <c r="G36" s="118">
        <f>D36*E36/1000000*F36</f>
        <v>2.0425</v>
      </c>
      <c r="H36" s="124"/>
      <c r="I36" s="89">
        <f>I35-H38</f>
        <v>84.27231119999999</v>
      </c>
      <c r="J36" t="s" s="107">
        <v>294</v>
      </c>
      <c r="K36" s="118"/>
      <c r="L36" s="123"/>
      <c r="M36" s="87"/>
    </row>
    <row r="37" ht="13" customHeight="1">
      <c r="A37" s="85"/>
      <c r="B37" t="s" s="96">
        <v>319</v>
      </c>
      <c r="C37" s="87"/>
      <c r="D37" s="89">
        <v>1050</v>
      </c>
      <c r="E37" s="89">
        <v>2150</v>
      </c>
      <c r="F37" s="89">
        <v>1</v>
      </c>
      <c r="G37" s="118">
        <f>D37*E37/1000000*F37</f>
        <v>2.2575</v>
      </c>
      <c r="H37" s="124"/>
      <c r="I37" s="89">
        <f>I36/0.21</f>
        <v>401.29672</v>
      </c>
      <c r="J37" t="s" s="107">
        <v>300</v>
      </c>
      <c r="K37" s="118"/>
      <c r="L37" s="123"/>
      <c r="M37" s="87"/>
    </row>
    <row r="38" ht="13" customHeight="1">
      <c r="A38" s="85"/>
      <c r="B38" s="94"/>
      <c r="C38" s="87"/>
      <c r="D38" s="87"/>
      <c r="E38" s="87"/>
      <c r="F38" s="87"/>
      <c r="G38" s="125">
        <f>SUM(G28:G37)</f>
        <v>24.883236</v>
      </c>
      <c r="H38" s="124">
        <f>0.8*G38</f>
        <v>19.9065888</v>
      </c>
      <c r="I38" s="89">
        <f>I37*2</f>
        <v>802.59344</v>
      </c>
      <c r="J38" t="s" s="107">
        <v>302</v>
      </c>
      <c r="K38" t="s" s="126">
        <v>320</v>
      </c>
      <c r="L38" s="123"/>
      <c r="M38" s="87"/>
    </row>
    <row r="39" ht="13" customHeight="1">
      <c r="A39" s="85"/>
      <c r="B39" t="s" s="96">
        <v>321</v>
      </c>
      <c r="C39" s="87"/>
      <c r="D39" s="87"/>
      <c r="E39" s="87"/>
      <c r="F39" s="87"/>
      <c r="G39" s="118">
        <f>D39*E39/1000000*F39</f>
        <v>0</v>
      </c>
      <c r="H39" s="124"/>
      <c r="I39" s="89">
        <f>I38/60</f>
        <v>13.37655733333333</v>
      </c>
      <c r="J39" t="s" s="107">
        <v>305</v>
      </c>
      <c r="K39" t="s" s="126">
        <v>322</v>
      </c>
      <c r="L39" s="123"/>
      <c r="M39" s="87"/>
    </row>
    <row r="40" ht="14.3" customHeight="1">
      <c r="A40" s="85"/>
      <c r="B40" t="s" s="96">
        <v>310</v>
      </c>
      <c r="C40" t="s" s="91">
        <v>323</v>
      </c>
      <c r="D40" s="89">
        <v>1829</v>
      </c>
      <c r="E40" s="89">
        <v>1067</v>
      </c>
      <c r="F40" s="89">
        <v>2</v>
      </c>
      <c r="G40" s="118">
        <f>D40*E40/1000000*F40</f>
        <v>3.903086</v>
      </c>
      <c r="H40" s="127"/>
      <c r="I40" s="128">
        <f>I38/45.45</f>
        <v>17.65882156215621</v>
      </c>
      <c r="J40" t="s" s="114">
        <v>308</v>
      </c>
      <c r="K40" t="s" s="129">
        <v>324</v>
      </c>
      <c r="L40" s="123"/>
      <c r="M40" s="87"/>
    </row>
    <row r="41" ht="14.3" customHeight="1">
      <c r="A41" s="85"/>
      <c r="B41" t="s" s="96">
        <v>313</v>
      </c>
      <c r="C41" t="s" s="91">
        <v>323</v>
      </c>
      <c r="D41" s="89">
        <v>1829</v>
      </c>
      <c r="E41" s="89">
        <v>1067</v>
      </c>
      <c r="F41" s="89">
        <v>1</v>
      </c>
      <c r="G41" s="118">
        <f>D41*E41/1000000*F41</f>
        <v>1.951543</v>
      </c>
      <c r="H41" s="119"/>
      <c r="I41" t="s" s="120">
        <v>325</v>
      </c>
      <c r="J41" s="130"/>
      <c r="K41" s="122"/>
      <c r="L41" s="123"/>
      <c r="M41" s="87"/>
    </row>
    <row r="42" ht="14.3" customHeight="1">
      <c r="A42" s="85"/>
      <c r="B42" t="s" s="96">
        <v>326</v>
      </c>
      <c r="C42" t="s" s="91">
        <v>323</v>
      </c>
      <c r="D42" s="89">
        <v>1829</v>
      </c>
      <c r="E42" s="89">
        <v>1067</v>
      </c>
      <c r="F42" s="89">
        <v>1</v>
      </c>
      <c r="G42" s="118">
        <f>D42*E42/1000000*F42</f>
        <v>1.951543</v>
      </c>
      <c r="H42" s="124"/>
      <c r="I42" s="89">
        <f>F18+J18+M18</f>
        <v>48322</v>
      </c>
      <c r="J42" t="s" s="99">
        <v>289</v>
      </c>
      <c r="K42" s="118"/>
      <c r="L42" s="123"/>
      <c r="M42" s="87"/>
    </row>
    <row r="43" ht="14.3" customHeight="1">
      <c r="A43" s="85"/>
      <c r="B43" t="s" s="96">
        <v>327</v>
      </c>
      <c r="C43" s="89">
        <v>5036</v>
      </c>
      <c r="D43" s="89">
        <v>1524</v>
      </c>
      <c r="E43" s="89">
        <v>1067</v>
      </c>
      <c r="F43" s="89">
        <v>1</v>
      </c>
      <c r="G43" s="118">
        <f>D43*E43/1000000*F43</f>
        <v>1.626108</v>
      </c>
      <c r="H43" s="124"/>
      <c r="I43" s="89">
        <f>I42*21</f>
        <v>1014762</v>
      </c>
      <c r="J43" t="s" s="103">
        <v>291</v>
      </c>
      <c r="K43" s="118"/>
      <c r="L43" s="123"/>
      <c r="M43" s="87"/>
    </row>
    <row r="44" ht="13" customHeight="1">
      <c r="A44" s="85"/>
      <c r="B44" t="s" s="96">
        <v>304</v>
      </c>
      <c r="C44" s="89">
        <v>3636</v>
      </c>
      <c r="D44" s="89">
        <v>1067</v>
      </c>
      <c r="E44" s="89">
        <v>1067</v>
      </c>
      <c r="F44" s="89">
        <v>3</v>
      </c>
      <c r="G44" s="118">
        <f>D44*E44/1000000*F44</f>
        <v>3.415467</v>
      </c>
      <c r="H44" s="124"/>
      <c r="I44" s="89">
        <f>I43/10000</f>
        <v>101.4762</v>
      </c>
      <c r="J44" t="s" s="107">
        <v>292</v>
      </c>
      <c r="K44" s="118"/>
      <c r="L44" s="123"/>
      <c r="M44" s="87"/>
    </row>
    <row r="45" ht="13" customHeight="1">
      <c r="A45" s="85"/>
      <c r="B45" t="s" s="96">
        <v>306</v>
      </c>
      <c r="C45" t="s" s="91">
        <v>307</v>
      </c>
      <c r="D45" s="89">
        <v>610</v>
      </c>
      <c r="E45" s="89">
        <v>610</v>
      </c>
      <c r="F45" s="89">
        <v>2</v>
      </c>
      <c r="G45" s="118">
        <f>D45*E45/1000000*F45</f>
        <v>0.7442</v>
      </c>
      <c r="H45" s="124"/>
      <c r="I45" s="89">
        <f>I44-H47</f>
        <v>88.96864240000001</v>
      </c>
      <c r="J45" t="s" s="107">
        <v>294</v>
      </c>
      <c r="K45" s="118"/>
      <c r="L45" s="123"/>
      <c r="M45" s="87"/>
    </row>
    <row r="46" ht="13" customHeight="1">
      <c r="A46" s="85"/>
      <c r="B46" t="s" s="96">
        <v>319</v>
      </c>
      <c r="C46" s="87"/>
      <c r="D46" s="89">
        <v>950</v>
      </c>
      <c r="E46" s="89">
        <v>2150</v>
      </c>
      <c r="F46" s="89">
        <v>1</v>
      </c>
      <c r="G46" s="118">
        <f>D46*E46/1000000*F46</f>
        <v>2.0425</v>
      </c>
      <c r="H46" s="124"/>
      <c r="I46" s="89">
        <f>I45/0.21</f>
        <v>423.6602019047619</v>
      </c>
      <c r="J46" t="s" s="107">
        <v>300</v>
      </c>
      <c r="K46" s="118"/>
      <c r="L46" s="123"/>
      <c r="M46" s="87"/>
    </row>
    <row r="47" ht="13" customHeight="1">
      <c r="A47" s="85"/>
      <c r="B47" s="96"/>
      <c r="C47" s="87"/>
      <c r="D47" s="89"/>
      <c r="E47" s="89"/>
      <c r="F47" s="89"/>
      <c r="G47" s="125">
        <f>SUM(G40:G46)</f>
        <v>15.634447</v>
      </c>
      <c r="H47" s="124">
        <f>0.8*G47</f>
        <v>12.5075576</v>
      </c>
      <c r="I47" s="89">
        <f>I46*2</f>
        <v>847.3204038095239</v>
      </c>
      <c r="J47" t="s" s="107">
        <v>302</v>
      </c>
      <c r="K47" t="s" s="126">
        <v>328</v>
      </c>
      <c r="L47" s="123"/>
      <c r="M47" s="87"/>
    </row>
    <row r="48" ht="13" customHeight="1">
      <c r="A48" s="85"/>
      <c r="B48" s="96"/>
      <c r="C48" s="87"/>
      <c r="D48" s="89"/>
      <c r="E48" s="89"/>
      <c r="F48" t="s" s="91">
        <v>329</v>
      </c>
      <c r="G48" s="118">
        <f>G38+G47</f>
        <v>40.51768300000001</v>
      </c>
      <c r="H48" s="124"/>
      <c r="I48" s="89">
        <f>I47/60</f>
        <v>14.12200673015873</v>
      </c>
      <c r="J48" t="s" s="107">
        <v>305</v>
      </c>
      <c r="K48" t="s" s="126">
        <v>330</v>
      </c>
      <c r="L48" s="123"/>
      <c r="M48" s="87"/>
    </row>
    <row r="49" ht="14.3" customHeight="1">
      <c r="A49" s="85"/>
      <c r="B49" s="96"/>
      <c r="C49" s="87"/>
      <c r="D49" s="89"/>
      <c r="E49" s="89"/>
      <c r="F49" s="91"/>
      <c r="G49" s="118"/>
      <c r="H49" s="127"/>
      <c r="I49" s="128">
        <f>I47/45.45</f>
        <v>18.64291317512704</v>
      </c>
      <c r="J49" t="s" s="114">
        <v>308</v>
      </c>
      <c r="K49" t="s" s="129">
        <v>331</v>
      </c>
      <c r="L49" s="123"/>
      <c r="M49" s="87"/>
    </row>
    <row r="50" ht="15.65" customHeight="1">
      <c r="A50" s="85"/>
      <c r="B50" s="96"/>
      <c r="C50" s="87"/>
      <c r="D50" s="89"/>
      <c r="E50" s="89"/>
      <c r="F50" s="91"/>
      <c r="G50" s="118"/>
      <c r="H50" t="s" s="131">
        <v>332</v>
      </c>
      <c r="I50" s="132">
        <v>12.5</v>
      </c>
      <c r="J50" t="s" s="133">
        <v>333</v>
      </c>
      <c r="K50" s="134"/>
      <c r="L50" s="123"/>
      <c r="M50" s="87"/>
    </row>
    <row r="51" ht="15.65" customHeight="1">
      <c r="A51" s="85"/>
      <c r="B51" s="96"/>
      <c r="C51" s="87"/>
      <c r="D51" s="89"/>
      <c r="E51" s="89"/>
      <c r="F51" s="91"/>
      <c r="G51" s="118"/>
      <c r="H51" t="s" s="131">
        <v>334</v>
      </c>
      <c r="I51" s="132">
        <f>I44+I35+I50</f>
        <v>218.1551</v>
      </c>
      <c r="J51" s="133"/>
      <c r="K51" s="134"/>
      <c r="L51" s="123"/>
      <c r="M51" s="87"/>
    </row>
    <row r="52" ht="15.65" customHeight="1">
      <c r="A52" s="85"/>
      <c r="B52" s="96"/>
      <c r="C52" s="87"/>
      <c r="D52" s="89"/>
      <c r="E52" s="89"/>
      <c r="F52" s="91"/>
      <c r="G52" s="118"/>
      <c r="H52" s="135"/>
      <c r="I52" s="132"/>
      <c r="J52" s="133"/>
      <c r="K52" s="134"/>
      <c r="L52" s="123"/>
      <c r="M52" s="8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2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3.45" customHeight="1" outlineLevelRow="0" outlineLevelCol="0"/>
  <cols>
    <col min="1" max="1" width="16.3516" style="136" customWidth="1"/>
    <col min="2" max="2" width="16.3516" style="136" customWidth="1"/>
    <col min="3" max="3" width="16.3516" style="136" customWidth="1"/>
    <col min="4" max="4" width="16.3516" style="136" customWidth="1"/>
    <col min="5" max="5" width="16.3516" style="136" customWidth="1"/>
    <col min="6" max="6" width="16.3516" style="136" customWidth="1"/>
    <col min="7" max="7" width="16.3516" style="136" customWidth="1"/>
    <col min="8" max="8" width="16.3516" style="136" customWidth="1"/>
    <col min="9" max="9" width="16.3516" style="136" customWidth="1"/>
    <col min="10" max="10" width="16.3516" style="136" customWidth="1"/>
    <col min="11" max="256" width="16.3516" style="136" customWidth="1"/>
  </cols>
  <sheetData>
    <row r="1" ht="13.2" customHeight="1">
      <c r="A1" t="s" s="78">
        <v>335</v>
      </c>
      <c r="B1" t="s" s="78">
        <v>201</v>
      </c>
      <c r="C1" t="s" s="78">
        <v>336</v>
      </c>
      <c r="D1" t="s" s="78">
        <v>298</v>
      </c>
      <c r="E1" t="s" s="78">
        <v>337</v>
      </c>
      <c r="F1" t="s" s="78">
        <v>338</v>
      </c>
      <c r="G1" t="s" s="78">
        <v>339</v>
      </c>
      <c r="H1" t="s" s="78">
        <v>340</v>
      </c>
      <c r="I1" s="77"/>
      <c r="J1" s="77"/>
    </row>
    <row r="2" ht="13.2" customHeight="1">
      <c r="A2" t="s" s="137">
        <v>341</v>
      </c>
      <c r="B2" s="80">
        <v>7</v>
      </c>
      <c r="C2" s="84">
        <v>0.8</v>
      </c>
      <c r="D2" s="84">
        <v>6</v>
      </c>
      <c r="E2" s="84">
        <v>12</v>
      </c>
      <c r="F2" s="84">
        <f>B2*C2*D2</f>
        <v>33.6</v>
      </c>
      <c r="G2" s="81"/>
      <c r="H2" s="81"/>
      <c r="I2" s="81"/>
      <c r="J2" s="81"/>
    </row>
    <row r="3" ht="13" customHeight="1">
      <c r="A3" t="s" s="138">
        <v>342</v>
      </c>
      <c r="B3" s="86">
        <v>7</v>
      </c>
      <c r="C3" s="89">
        <v>3</v>
      </c>
      <c r="D3" s="89">
        <v>6</v>
      </c>
      <c r="E3" s="89">
        <v>12</v>
      </c>
      <c r="F3" s="89">
        <f>B3*C3*D3</f>
        <v>126</v>
      </c>
      <c r="G3" s="89">
        <f>16*B3</f>
        <v>112</v>
      </c>
      <c r="H3" s="87"/>
      <c r="I3" s="87"/>
      <c r="J3" s="87"/>
    </row>
    <row r="4" ht="13" customHeight="1">
      <c r="A4" s="85"/>
      <c r="B4" s="94"/>
      <c r="C4" s="87"/>
      <c r="D4" s="87"/>
      <c r="E4" s="87"/>
      <c r="F4" s="87"/>
      <c r="G4" s="87"/>
      <c r="H4" s="87"/>
      <c r="I4" s="87"/>
      <c r="J4" s="87"/>
    </row>
    <row r="5" ht="13" customHeight="1">
      <c r="A5" s="85"/>
      <c r="B5" s="94"/>
      <c r="C5" s="87"/>
      <c r="D5" s="87"/>
      <c r="E5" t="s" s="139">
        <v>343</v>
      </c>
      <c r="F5" s="89">
        <f>B5*C5*D5</f>
        <v>0</v>
      </c>
      <c r="G5" s="87"/>
      <c r="H5" s="87"/>
      <c r="I5" s="87"/>
      <c r="J5" s="87"/>
    </row>
    <row r="6" ht="13" customHeight="1">
      <c r="A6" t="s" s="138">
        <v>344</v>
      </c>
      <c r="B6" s="86">
        <v>7</v>
      </c>
      <c r="C6" s="87"/>
      <c r="D6" s="87"/>
      <c r="E6" s="87"/>
      <c r="F6" s="89">
        <f>B6*C6*D6</f>
        <v>0</v>
      </c>
      <c r="G6" s="87"/>
      <c r="H6" s="87"/>
      <c r="I6" s="87"/>
      <c r="J6" s="87"/>
    </row>
    <row r="7" ht="13" customHeight="1">
      <c r="A7" t="s" s="138">
        <v>341</v>
      </c>
      <c r="B7" s="86">
        <v>7</v>
      </c>
      <c r="C7" s="89">
        <v>1</v>
      </c>
      <c r="D7" s="89">
        <v>6</v>
      </c>
      <c r="E7" s="87"/>
      <c r="F7" s="89">
        <f>B7*C7*D7</f>
        <v>42</v>
      </c>
      <c r="G7" s="87"/>
      <c r="H7" s="87"/>
      <c r="I7" s="87"/>
      <c r="J7" s="87"/>
    </row>
    <row r="8" ht="13" customHeight="1">
      <c r="A8" t="s" s="138">
        <v>342</v>
      </c>
      <c r="B8" s="86">
        <v>7</v>
      </c>
      <c r="C8" s="89">
        <v>3</v>
      </c>
      <c r="D8" s="89">
        <v>6</v>
      </c>
      <c r="E8" s="87"/>
      <c r="F8" s="89">
        <f>B8*C8*D8</f>
        <v>126</v>
      </c>
      <c r="G8" s="89">
        <f>16*B8</f>
        <v>112</v>
      </c>
      <c r="H8" s="87"/>
      <c r="I8" s="87"/>
      <c r="J8" s="87"/>
    </row>
    <row r="9" ht="13" customHeight="1">
      <c r="A9" s="85"/>
      <c r="B9" s="94"/>
      <c r="C9" s="87"/>
      <c r="D9" s="87"/>
      <c r="E9" s="87"/>
      <c r="F9" s="87"/>
      <c r="G9" s="87"/>
      <c r="H9" s="87"/>
      <c r="I9" s="87"/>
      <c r="J9" s="87"/>
    </row>
    <row r="10" ht="13" customHeight="1">
      <c r="A10" t="s" s="138">
        <v>345</v>
      </c>
      <c r="B10" s="86">
        <v>4</v>
      </c>
      <c r="C10" s="87"/>
      <c r="D10" s="87"/>
      <c r="E10" s="87"/>
      <c r="F10" s="89">
        <f>B10*C10*D10</f>
        <v>0</v>
      </c>
      <c r="G10" s="87"/>
      <c r="H10" s="87"/>
      <c r="I10" s="87"/>
      <c r="J10" s="87"/>
    </row>
    <row r="11" ht="13" customHeight="1">
      <c r="A11" t="s" s="138">
        <v>346</v>
      </c>
      <c r="B11" s="86">
        <v>1</v>
      </c>
      <c r="C11" s="89">
        <v>1.2</v>
      </c>
      <c r="D11" s="89">
        <v>6</v>
      </c>
      <c r="E11" s="89">
        <v>12</v>
      </c>
      <c r="F11" s="89">
        <f>B11*C11*D11</f>
        <v>7.199999999999999</v>
      </c>
      <c r="G11" s="89">
        <f>16*B11</f>
        <v>16</v>
      </c>
      <c r="H11" s="87"/>
      <c r="I11" s="87"/>
      <c r="J11" s="87"/>
    </row>
    <row r="12" ht="13" customHeight="1">
      <c r="A12" t="s" s="138">
        <v>347</v>
      </c>
      <c r="B12" s="86">
        <v>3</v>
      </c>
      <c r="C12" s="89">
        <v>1.4</v>
      </c>
      <c r="D12" s="89">
        <v>6</v>
      </c>
      <c r="E12" s="89">
        <v>12</v>
      </c>
      <c r="F12" s="89">
        <f>B12*C12*D12</f>
        <v>25.2</v>
      </c>
      <c r="G12" s="89">
        <f>16*B12</f>
        <v>48</v>
      </c>
      <c r="H12" s="87"/>
      <c r="I12" s="87"/>
      <c r="J12" s="87"/>
    </row>
    <row r="13" ht="13" customHeight="1">
      <c r="A13" s="85"/>
      <c r="B13" s="94"/>
      <c r="C13" s="87"/>
      <c r="D13" s="87"/>
      <c r="E13" s="87"/>
      <c r="F13" s="87"/>
      <c r="G13" s="87"/>
      <c r="H13" s="87"/>
      <c r="I13" s="87"/>
      <c r="J13" s="87"/>
    </row>
    <row r="14" ht="13" customHeight="1">
      <c r="A14" t="s" s="138">
        <v>348</v>
      </c>
      <c r="B14" s="94"/>
      <c r="C14" s="87"/>
      <c r="D14" s="87"/>
      <c r="E14" s="87"/>
      <c r="F14" s="87"/>
      <c r="G14" s="87"/>
      <c r="H14" s="87"/>
      <c r="I14" s="87"/>
      <c r="J14" s="87"/>
    </row>
    <row r="15" ht="13" customHeight="1">
      <c r="A15" s="85"/>
      <c r="B15" s="94"/>
      <c r="C15" s="87"/>
      <c r="D15" s="87"/>
      <c r="E15" s="87"/>
      <c r="F15" s="87"/>
      <c r="G15" s="87"/>
      <c r="H15" s="87"/>
      <c r="I15" s="87"/>
      <c r="J15" s="87"/>
    </row>
    <row r="16" ht="13" customHeight="1">
      <c r="A16" s="85"/>
      <c r="B16" s="94"/>
      <c r="C16" s="87"/>
      <c r="D16" s="87"/>
      <c r="E16" s="87"/>
      <c r="F16" s="87"/>
      <c r="G16" s="87"/>
      <c r="H16" s="87"/>
      <c r="I16" s="87"/>
      <c r="J16" s="87"/>
    </row>
    <row r="17" ht="13" customHeight="1">
      <c r="A17" t="s" s="138">
        <v>349</v>
      </c>
      <c r="B17" s="86">
        <f>(36+37)*2</f>
        <v>146</v>
      </c>
      <c r="C17" t="s" s="91">
        <v>350</v>
      </c>
      <c r="D17" s="89">
        <f>B17/6</f>
        <v>24.33333333333333</v>
      </c>
      <c r="E17" s="89">
        <v>25</v>
      </c>
      <c r="F17" t="s" s="91">
        <v>351</v>
      </c>
      <c r="G17" s="87"/>
      <c r="H17" s="89">
        <f>E17</f>
        <v>25</v>
      </c>
      <c r="I17" s="87"/>
      <c r="J17" s="87"/>
    </row>
    <row r="18" ht="13" customHeight="1">
      <c r="A18" s="85"/>
      <c r="B18" s="94"/>
      <c r="C18" s="87"/>
      <c r="D18" s="87"/>
      <c r="E18" s="87"/>
      <c r="F18" s="87"/>
      <c r="G18" s="87"/>
      <c r="H18" s="87"/>
      <c r="I18" s="87"/>
      <c r="J18" s="87"/>
    </row>
    <row r="19" ht="13" customHeight="1">
      <c r="A19" s="85"/>
      <c r="B19" s="94"/>
      <c r="C19" s="87"/>
      <c r="D19" s="87"/>
      <c r="E19" s="87"/>
      <c r="F19" s="87"/>
      <c r="G19" s="87"/>
      <c r="H19" s="87"/>
      <c r="I19" s="87"/>
      <c r="J19" s="87"/>
    </row>
    <row r="20" ht="13" customHeight="1">
      <c r="A20" t="s" s="138">
        <v>352</v>
      </c>
      <c r="B20" s="86">
        <f>(13+11)*2*2</f>
        <v>96</v>
      </c>
      <c r="C20" t="s" s="91">
        <v>350</v>
      </c>
      <c r="D20" s="89">
        <f>B20/6</f>
        <v>16</v>
      </c>
      <c r="E20" s="89">
        <v>16</v>
      </c>
      <c r="F20" t="s" s="91">
        <v>351</v>
      </c>
      <c r="G20" s="87"/>
      <c r="H20" s="89">
        <f>E20</f>
        <v>16</v>
      </c>
      <c r="I20" s="87"/>
      <c r="J20" s="87"/>
    </row>
    <row r="21" ht="13" customHeight="1">
      <c r="A21" s="85"/>
      <c r="B21" s="94"/>
      <c r="C21" s="87"/>
      <c r="D21" s="87"/>
      <c r="E21" s="87"/>
      <c r="F21" s="87"/>
      <c r="G21" s="87"/>
      <c r="H21" s="87"/>
      <c r="I21" s="87"/>
      <c r="J21" s="87"/>
    </row>
    <row r="22" ht="13" customHeight="1">
      <c r="A22" s="85"/>
      <c r="B22" s="94"/>
      <c r="C22" s="87"/>
      <c r="D22" s="87"/>
      <c r="E22" s="87"/>
      <c r="F22" s="87"/>
      <c r="G22" s="87"/>
      <c r="H22" s="87"/>
      <c r="I22" s="87"/>
      <c r="J22" s="87"/>
    </row>
    <row r="23" ht="13" customHeight="1">
      <c r="A23" t="s" s="138">
        <v>353</v>
      </c>
      <c r="B23" t="s" s="96">
        <v>354</v>
      </c>
      <c r="C23" s="89">
        <v>7.3</v>
      </c>
      <c r="D23" s="89">
        <v>3</v>
      </c>
      <c r="E23" t="s" s="91">
        <v>355</v>
      </c>
      <c r="F23" s="87"/>
      <c r="G23" s="87"/>
      <c r="H23" s="87"/>
      <c r="I23" s="87"/>
      <c r="J23" s="87"/>
    </row>
    <row r="24" ht="13" customHeight="1">
      <c r="A24" s="85"/>
      <c r="B24" s="94"/>
      <c r="C24" s="89">
        <v>8</v>
      </c>
      <c r="D24" s="89">
        <v>2</v>
      </c>
      <c r="E24" s="87"/>
      <c r="F24" s="89">
        <f>D24*C24</f>
        <v>16</v>
      </c>
      <c r="G24" s="89">
        <f>7.3/0.2</f>
        <v>36.5</v>
      </c>
      <c r="H24" s="87"/>
      <c r="I24" s="87"/>
      <c r="J24" s="87"/>
    </row>
    <row r="25" ht="13" customHeight="1">
      <c r="A25" s="85"/>
      <c r="B25" t="s" s="96">
        <v>356</v>
      </c>
      <c r="C25" s="89">
        <v>7.3</v>
      </c>
      <c r="D25" s="89">
        <v>2</v>
      </c>
      <c r="E25" t="s" s="91">
        <v>357</v>
      </c>
      <c r="F25" s="87"/>
      <c r="G25" s="87"/>
      <c r="H25" s="87"/>
      <c r="I25" s="87"/>
      <c r="J25" s="87"/>
    </row>
    <row r="26" ht="13" customHeight="1">
      <c r="A26" t="s" s="138">
        <v>358</v>
      </c>
      <c r="B26" s="86">
        <v>28</v>
      </c>
      <c r="C26" s="89">
        <v>0.2</v>
      </c>
      <c r="D26" s="89">
        <f>B26*C26</f>
        <v>5.600000000000001</v>
      </c>
      <c r="E26" t="s" s="91">
        <v>340</v>
      </c>
      <c r="F26" s="87"/>
      <c r="G26" s="87"/>
      <c r="H26" s="89">
        <v>1</v>
      </c>
      <c r="I26" s="87"/>
      <c r="J26" s="87"/>
    </row>
    <row r="27" ht="13" customHeight="1">
      <c r="A27" s="85"/>
      <c r="B27" t="s" s="96">
        <v>359</v>
      </c>
      <c r="C27" s="87"/>
      <c r="D27" s="87"/>
      <c r="E27" s="91"/>
      <c r="F27" s="89">
        <f>SUM(F2:F12)+F24</f>
        <v>376</v>
      </c>
      <c r="G27" s="89">
        <f>SUM(G2:G26)</f>
        <v>324.5</v>
      </c>
      <c r="H27" s="89">
        <f>SUM(H2:H26)</f>
        <v>42</v>
      </c>
      <c r="I27" s="87"/>
      <c r="J27" s="87"/>
    </row>
    <row r="28" ht="13" customHeight="1">
      <c r="A28" s="85"/>
      <c r="B28" s="96"/>
      <c r="C28" s="87"/>
      <c r="D28" s="87"/>
      <c r="E28" s="91"/>
      <c r="F28" s="89">
        <f>F27/6</f>
        <v>62.66666666666666</v>
      </c>
      <c r="G28" s="89"/>
      <c r="H28" s="87"/>
      <c r="I28" s="87"/>
      <c r="J28" s="8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/>
  </sheetViews>
  <sheetFormatPr defaultColWidth="14.5" defaultRowHeight="15.75" customHeight="1" outlineLevelRow="0" outlineLevelCol="0"/>
  <cols>
    <col min="1" max="1" width="14.5" style="140" customWidth="1"/>
    <col min="2" max="2" width="14.5" style="140" customWidth="1"/>
    <col min="3" max="3" width="14.5" style="140" customWidth="1"/>
    <col min="4" max="4" width="14.5" style="140" customWidth="1"/>
    <col min="5" max="5" width="14.5" style="140" customWidth="1"/>
    <col min="6" max="6" width="14.5" style="140" customWidth="1"/>
    <col min="7" max="7" width="14.5" style="140" customWidth="1"/>
    <col min="8" max="8" width="14.5" style="140" customWidth="1"/>
    <col min="9" max="9" width="14.5" style="140" customWidth="1"/>
    <col min="10" max="256" width="14.5" style="140" customWidth="1"/>
  </cols>
  <sheetData>
    <row r="1" ht="13.65" customHeight="1">
      <c r="A1" s="3"/>
      <c r="B1" s="3"/>
      <c r="C1" t="s" s="35">
        <v>360</v>
      </c>
      <c r="D1" s="3"/>
      <c r="E1" s="3"/>
      <c r="F1" t="s" s="35">
        <v>361</v>
      </c>
      <c r="G1" s="3"/>
      <c r="H1" s="3"/>
      <c r="I1" s="3"/>
    </row>
    <row r="2" ht="13.65" customHeight="1">
      <c r="A2" s="3"/>
      <c r="B2" s="3"/>
      <c r="C2" s="3"/>
      <c r="D2" s="3"/>
      <c r="E2" s="3"/>
      <c r="F2" s="3"/>
      <c r="G2" s="3"/>
      <c r="H2" s="3"/>
      <c r="I2" s="3"/>
    </row>
    <row r="3" ht="13.65" customHeight="1">
      <c r="A3" s="3"/>
      <c r="B3" s="3"/>
      <c r="C3" t="s" s="35">
        <v>362</v>
      </c>
      <c r="D3" t="s" s="35">
        <v>363</v>
      </c>
      <c r="E3" s="61"/>
      <c r="F3" t="s" s="35">
        <v>364</v>
      </c>
      <c r="G3" s="3"/>
      <c r="H3" s="3"/>
      <c r="I3" s="61"/>
    </row>
    <row r="4" ht="13.65" customHeight="1">
      <c r="A4" s="3"/>
      <c r="B4" t="s" s="35">
        <v>365</v>
      </c>
      <c r="C4" t="s" s="2">
        <v>366</v>
      </c>
      <c r="D4" s="3"/>
      <c r="E4" s="3"/>
      <c r="F4" t="s" s="35">
        <v>367</v>
      </c>
      <c r="G4" s="3"/>
      <c r="H4" s="3"/>
      <c r="I4" s="3"/>
    </row>
    <row r="5" ht="13.65" customHeight="1">
      <c r="A5" s="61"/>
      <c r="B5" t="s" s="2">
        <v>133</v>
      </c>
      <c r="C5" s="34">
        <v>100</v>
      </c>
      <c r="D5" s="3"/>
      <c r="E5" s="3"/>
      <c r="F5" t="s" s="35">
        <v>368</v>
      </c>
      <c r="G5" s="3"/>
      <c r="H5" s="3"/>
      <c r="I5" s="3"/>
    </row>
    <row r="6" ht="13.65" customHeight="1">
      <c r="A6" s="61"/>
      <c r="B6" t="s" s="2">
        <v>369</v>
      </c>
      <c r="C6" s="3"/>
      <c r="D6" s="3"/>
      <c r="E6" s="3"/>
      <c r="F6" t="s" s="35">
        <v>370</v>
      </c>
      <c r="G6" s="3"/>
      <c r="H6" s="3"/>
      <c r="I6" s="3"/>
    </row>
    <row r="7" ht="13.65" customHeight="1">
      <c r="A7" s="61"/>
      <c r="B7" t="s" s="35">
        <v>236</v>
      </c>
      <c r="C7" s="3"/>
      <c r="D7" s="3"/>
      <c r="E7" s="3"/>
      <c r="F7" t="s" s="35">
        <v>217</v>
      </c>
      <c r="G7" s="3"/>
      <c r="H7" s="3"/>
      <c r="I7" s="3"/>
    </row>
    <row r="8" ht="13.65" customHeight="1">
      <c r="A8" s="61"/>
      <c r="B8" t="s" s="35">
        <v>137</v>
      </c>
      <c r="C8" t="s" s="35">
        <v>371</v>
      </c>
      <c r="D8" s="3"/>
      <c r="E8" s="3"/>
      <c r="F8" t="s" s="35">
        <v>372</v>
      </c>
      <c r="G8" s="3"/>
      <c r="H8" s="3"/>
      <c r="I8" s="3"/>
    </row>
    <row r="9" ht="13.65" customHeight="1">
      <c r="A9" s="3"/>
      <c r="B9" t="s" s="35">
        <v>373</v>
      </c>
      <c r="C9" s="3"/>
      <c r="D9" s="3"/>
      <c r="E9" s="3"/>
      <c r="F9" t="s" s="35">
        <v>374</v>
      </c>
      <c r="G9" s="3"/>
      <c r="H9" s="3"/>
      <c r="I9" s="3"/>
    </row>
    <row r="10" ht="13.65" customHeight="1">
      <c r="A10" s="3"/>
      <c r="B10" s="3"/>
      <c r="C10" s="3"/>
      <c r="D10" s="3"/>
      <c r="E10" s="3"/>
      <c r="F10" t="s" s="35">
        <v>375</v>
      </c>
      <c r="G10" s="3"/>
      <c r="H10" s="3"/>
      <c r="I10" s="61"/>
    </row>
    <row r="11" ht="13.65" customHeight="1">
      <c r="A11" s="3"/>
      <c r="B11" s="3"/>
      <c r="C11" s="3"/>
      <c r="D11" s="3"/>
      <c r="E11" s="3"/>
      <c r="F11" s="3"/>
      <c r="G11" s="3"/>
      <c r="H11" s="3"/>
      <c r="I11" s="6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3.45" customHeight="1" outlineLevelRow="0" outlineLevelCol="0"/>
  <cols>
    <col min="1" max="1" width="16.3516" style="141" customWidth="1"/>
    <col min="2" max="2" width="16.3516" style="141" customWidth="1"/>
    <col min="3" max="3" width="16.3516" style="141" customWidth="1"/>
    <col min="4" max="4" width="16.3516" style="141" customWidth="1"/>
    <col min="5" max="5" width="16.3516" style="141" customWidth="1"/>
    <col min="6" max="256" width="16.3516" style="141" customWidth="1"/>
  </cols>
  <sheetData>
    <row r="1" ht="13.2" customHeight="1">
      <c r="A1" s="77"/>
      <c r="B1" s="77"/>
      <c r="C1" s="77"/>
      <c r="D1" s="77"/>
      <c r="E1" s="77"/>
    </row>
    <row r="2" ht="13.2" customHeight="1">
      <c r="A2" s="79"/>
      <c r="B2" t="s" s="142">
        <v>376</v>
      </c>
      <c r="C2" s="84">
        <v>5.8</v>
      </c>
      <c r="D2" s="84">
        <v>5.18</v>
      </c>
      <c r="E2" s="81"/>
    </row>
    <row r="3" ht="13" customHeight="1">
      <c r="A3" s="85"/>
      <c r="B3" t="s" s="96">
        <v>377</v>
      </c>
      <c r="C3" s="89">
        <f>C2+0.2+0.22+0.5</f>
        <v>6.72</v>
      </c>
      <c r="D3" s="89">
        <f>D2+0.2+0.22+0.5</f>
        <v>6.1</v>
      </c>
      <c r="E3" s="87"/>
    </row>
    <row r="4" ht="13" customHeight="1">
      <c r="A4" s="85"/>
      <c r="B4" t="s" s="96">
        <v>378</v>
      </c>
      <c r="C4" s="89">
        <f>C3/COS(0.09)</f>
        <v>6.74730815756401</v>
      </c>
      <c r="D4" s="89">
        <f>D3/COS(0.09)</f>
        <v>6.124788654931616</v>
      </c>
      <c r="E4" s="87"/>
    </row>
    <row r="5" ht="13" customHeight="1">
      <c r="A5" s="85"/>
      <c r="B5" s="94"/>
      <c r="C5" s="87"/>
      <c r="D5" s="87"/>
      <c r="E5" s="87"/>
    </row>
    <row r="6" ht="13" customHeight="1">
      <c r="A6" s="85"/>
      <c r="B6" s="94"/>
      <c r="C6" s="89">
        <f>SQRT(C3^2+(C3/10)^2)</f>
        <v>6.753516417393238</v>
      </c>
      <c r="D6" s="89">
        <f>SQRT(D3^2+(D3/10)^2)</f>
        <v>6.130424128883742</v>
      </c>
      <c r="E6" s="87"/>
    </row>
    <row r="7" ht="13" customHeight="1">
      <c r="A7" s="85"/>
      <c r="B7" s="94"/>
      <c r="C7" s="87"/>
      <c r="D7" s="87"/>
      <c r="E7" s="87"/>
    </row>
    <row r="8" ht="13" customHeight="1">
      <c r="A8" s="85"/>
      <c r="B8" s="94"/>
      <c r="C8" s="87"/>
      <c r="D8" s="87"/>
      <c r="E8" s="87"/>
    </row>
    <row r="9" ht="13" customHeight="1">
      <c r="A9" s="85"/>
      <c r="B9" s="94"/>
      <c r="C9" s="87"/>
      <c r="D9" s="87"/>
      <c r="E9" s="87"/>
    </row>
    <row r="10" ht="13" customHeight="1">
      <c r="A10" s="85"/>
      <c r="B10" s="94"/>
      <c r="C10" s="87"/>
      <c r="D10" s="87"/>
      <c r="E10" s="8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