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Research\AFTAC-HPGe\"/>
    </mc:Choice>
  </mc:AlternateContent>
  <bookViews>
    <workbookView xWindow="0" yWindow="3570" windowWidth="19665" windowHeight="13230" activeTab="5"/>
  </bookViews>
  <sheets>
    <sheet name="0cm centered" sheetId="12" r:id="rId1"/>
    <sheet name="0cm flush to side" sheetId="7" r:id="rId2"/>
    <sheet name="7cm centered" sheetId="4" r:id="rId3"/>
    <sheet name="Offset Below" sheetId="9" r:id="rId4"/>
    <sheet name="Offset Above" sheetId="5" r:id="rId5"/>
    <sheet name="Efficiency Errors" sheetId="13" r:id="rId6"/>
    <sheet name="Efficiency" sheetId="10" r:id="rId7"/>
    <sheet name="Background" sheetId="11" r:id="rId8"/>
    <sheet name="Geometric Data" sheetId="8"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5" i="13" l="1"/>
  <c r="O45" i="13"/>
  <c r="N45" i="13"/>
  <c r="M45" i="13"/>
  <c r="L45" i="13"/>
  <c r="P44" i="13"/>
  <c r="O44" i="13"/>
  <c r="N44" i="13"/>
  <c r="M44" i="13"/>
  <c r="L44" i="13"/>
  <c r="P43" i="13"/>
  <c r="O43" i="13"/>
  <c r="N43" i="13"/>
  <c r="M43" i="13"/>
  <c r="L43" i="13"/>
  <c r="P42" i="13"/>
  <c r="O42" i="13"/>
  <c r="N42" i="13"/>
  <c r="M42" i="13"/>
  <c r="L42" i="13"/>
  <c r="P41" i="13"/>
  <c r="O41" i="13"/>
  <c r="N41" i="13"/>
  <c r="M41" i="13"/>
  <c r="L41" i="13"/>
  <c r="P40" i="13"/>
  <c r="O40" i="13"/>
  <c r="N40" i="13"/>
  <c r="M40" i="13"/>
  <c r="L40" i="13"/>
  <c r="P39" i="13"/>
  <c r="O39" i="13"/>
  <c r="N39" i="13"/>
  <c r="M39" i="13"/>
  <c r="L39" i="13"/>
  <c r="P38" i="13"/>
  <c r="O38" i="13"/>
  <c r="N38" i="13"/>
  <c r="M38" i="13"/>
  <c r="L38" i="13"/>
  <c r="P37" i="13"/>
  <c r="O37" i="13"/>
  <c r="N37" i="13"/>
  <c r="M37" i="13"/>
  <c r="L37" i="13"/>
  <c r="P36" i="13"/>
  <c r="O36" i="13"/>
  <c r="N36" i="13"/>
  <c r="M36" i="13"/>
  <c r="L36" i="13"/>
  <c r="P35" i="13"/>
  <c r="O35" i="13"/>
  <c r="N35" i="13"/>
  <c r="M35" i="13"/>
  <c r="L35" i="13"/>
  <c r="P34" i="13"/>
  <c r="O34" i="13"/>
  <c r="N34" i="13"/>
  <c r="M34" i="13"/>
  <c r="L34" i="13"/>
  <c r="G19" i="13" l="1"/>
  <c r="H19" i="13"/>
  <c r="I19" i="13"/>
  <c r="J19" i="13"/>
  <c r="K19" i="13"/>
  <c r="G20" i="13"/>
  <c r="H20" i="13"/>
  <c r="I20" i="13"/>
  <c r="J20" i="13"/>
  <c r="K20" i="13"/>
  <c r="G21" i="13"/>
  <c r="H21" i="13"/>
  <c r="I21" i="13"/>
  <c r="J21" i="13"/>
  <c r="K21" i="13"/>
  <c r="G22" i="13"/>
  <c r="H22" i="13"/>
  <c r="I22" i="13"/>
  <c r="J22" i="13"/>
  <c r="K22" i="13"/>
  <c r="G23" i="13"/>
  <c r="H23" i="13"/>
  <c r="I23" i="13"/>
  <c r="J23" i="13"/>
  <c r="K23" i="13"/>
  <c r="G24" i="13"/>
  <c r="H24" i="13"/>
  <c r="I24" i="13"/>
  <c r="J24" i="13"/>
  <c r="K24" i="13"/>
  <c r="G25" i="13"/>
  <c r="H25" i="13"/>
  <c r="I25" i="13"/>
  <c r="J25" i="13"/>
  <c r="K25" i="13"/>
  <c r="G26" i="13"/>
  <c r="H26" i="13"/>
  <c r="I26" i="13"/>
  <c r="J26" i="13"/>
  <c r="K26" i="13"/>
  <c r="G27" i="13"/>
  <c r="H27" i="13"/>
  <c r="I27" i="13"/>
  <c r="J27" i="13"/>
  <c r="K27" i="13"/>
  <c r="G28" i="13"/>
  <c r="H28" i="13"/>
  <c r="I28" i="13"/>
  <c r="J28" i="13"/>
  <c r="K28" i="13"/>
  <c r="G29" i="13"/>
  <c r="H29" i="13"/>
  <c r="I29" i="13"/>
  <c r="J29" i="13"/>
  <c r="K29" i="13"/>
  <c r="G30" i="13"/>
  <c r="H30" i="13"/>
  <c r="I30" i="13"/>
  <c r="J30" i="13"/>
  <c r="K30" i="13"/>
  <c r="B34" i="13"/>
  <c r="C34" i="13"/>
  <c r="H34" i="13" s="1"/>
  <c r="D34" i="13"/>
  <c r="E34" i="13"/>
  <c r="J34" i="13" s="1"/>
  <c r="F34" i="13"/>
  <c r="G34" i="13"/>
  <c r="I34" i="13"/>
  <c r="K34" i="13"/>
  <c r="B35" i="13"/>
  <c r="C35" i="13"/>
  <c r="H35" i="13" s="1"/>
  <c r="D35" i="13"/>
  <c r="E35" i="13"/>
  <c r="J35" i="13" s="1"/>
  <c r="F35" i="13"/>
  <c r="G35" i="13"/>
  <c r="I35" i="13"/>
  <c r="K35" i="13"/>
  <c r="B36" i="13"/>
  <c r="C36" i="13"/>
  <c r="H36" i="13" s="1"/>
  <c r="D36" i="13"/>
  <c r="E36" i="13"/>
  <c r="J36" i="13" s="1"/>
  <c r="F36" i="13"/>
  <c r="G36" i="13"/>
  <c r="I36" i="13"/>
  <c r="K36" i="13"/>
  <c r="B37" i="13"/>
  <c r="C37" i="13"/>
  <c r="H37" i="13" s="1"/>
  <c r="D37" i="13"/>
  <c r="E37" i="13"/>
  <c r="J37" i="13" s="1"/>
  <c r="F37" i="13"/>
  <c r="G37" i="13"/>
  <c r="I37" i="13"/>
  <c r="K37" i="13"/>
  <c r="B38" i="13"/>
  <c r="C38" i="13"/>
  <c r="H38" i="13" s="1"/>
  <c r="D38" i="13"/>
  <c r="E38" i="13"/>
  <c r="J38" i="13" s="1"/>
  <c r="F38" i="13"/>
  <c r="G38" i="13"/>
  <c r="I38" i="13"/>
  <c r="K38" i="13"/>
  <c r="B39" i="13"/>
  <c r="C39" i="13"/>
  <c r="H39" i="13" s="1"/>
  <c r="D39" i="13"/>
  <c r="E39" i="13"/>
  <c r="J39" i="13" s="1"/>
  <c r="F39" i="13"/>
  <c r="G39" i="13"/>
  <c r="I39" i="13"/>
  <c r="K39" i="13"/>
  <c r="B40" i="13"/>
  <c r="C40" i="13"/>
  <c r="H40" i="13" s="1"/>
  <c r="D40" i="13"/>
  <c r="E40" i="13"/>
  <c r="J40" i="13" s="1"/>
  <c r="F40" i="13"/>
  <c r="G40" i="13"/>
  <c r="I40" i="13"/>
  <c r="K40" i="13"/>
  <c r="B41" i="13"/>
  <c r="C41" i="13"/>
  <c r="H41" i="13" s="1"/>
  <c r="D41" i="13"/>
  <c r="E41" i="13"/>
  <c r="J41" i="13" s="1"/>
  <c r="F41" i="13"/>
  <c r="G41" i="13"/>
  <c r="I41" i="13"/>
  <c r="K41" i="13"/>
  <c r="B42" i="13"/>
  <c r="C42" i="13"/>
  <c r="H42" i="13" s="1"/>
  <c r="D42" i="13"/>
  <c r="E42" i="13"/>
  <c r="J42" i="13" s="1"/>
  <c r="F42" i="13"/>
  <c r="G42" i="13"/>
  <c r="I42" i="13"/>
  <c r="K42" i="13"/>
  <c r="B43" i="13"/>
  <c r="C43" i="13"/>
  <c r="H43" i="13" s="1"/>
  <c r="D43" i="13"/>
  <c r="E43" i="13"/>
  <c r="J43" i="13" s="1"/>
  <c r="F43" i="13"/>
  <c r="G43" i="13"/>
  <c r="I43" i="13"/>
  <c r="K43" i="13"/>
  <c r="B44" i="13"/>
  <c r="C44" i="13"/>
  <c r="H44" i="13" s="1"/>
  <c r="D44" i="13"/>
  <c r="E44" i="13"/>
  <c r="J44" i="13" s="1"/>
  <c r="F44" i="13"/>
  <c r="G44" i="13"/>
  <c r="I44" i="13"/>
  <c r="K44" i="13"/>
  <c r="B45" i="13"/>
  <c r="C45" i="13"/>
  <c r="H45" i="13" s="1"/>
  <c r="D45" i="13"/>
  <c r="E45" i="13"/>
  <c r="J45" i="13" s="1"/>
  <c r="F45" i="13"/>
  <c r="G45" i="13"/>
  <c r="I45" i="13"/>
  <c r="K45" i="13"/>
  <c r="J18" i="12"/>
  <c r="I18" i="12"/>
  <c r="J17" i="12"/>
  <c r="I17" i="12"/>
  <c r="J16" i="12"/>
  <c r="I16" i="12"/>
  <c r="J15" i="12"/>
  <c r="I15" i="12"/>
  <c r="J14" i="12"/>
  <c r="I14" i="12"/>
  <c r="J13" i="12"/>
  <c r="I13" i="12"/>
  <c r="I12" i="12"/>
  <c r="J11" i="12"/>
  <c r="I11" i="12"/>
  <c r="J10" i="12"/>
  <c r="I10" i="12"/>
  <c r="J9" i="12"/>
  <c r="I9" i="12"/>
  <c r="J8" i="12"/>
  <c r="I8" i="12"/>
  <c r="J7" i="12"/>
  <c r="I7" i="12"/>
  <c r="E53" i="12"/>
  <c r="E52" i="12"/>
  <c r="E51" i="12"/>
  <c r="E50" i="12"/>
  <c r="E49" i="12"/>
  <c r="E48" i="12"/>
  <c r="E47" i="12"/>
  <c r="E46" i="12"/>
  <c r="E45" i="12"/>
  <c r="E44" i="12"/>
  <c r="E43" i="12"/>
  <c r="E42" i="12"/>
  <c r="B39" i="12"/>
  <c r="K34" i="12"/>
  <c r="H34" i="12"/>
  <c r="K33" i="12"/>
  <c r="I33" i="12"/>
  <c r="H33" i="12"/>
  <c r="B52" i="12" s="1"/>
  <c r="C52" i="12" s="1"/>
  <c r="K32" i="12"/>
  <c r="H32" i="12"/>
  <c r="K31" i="12"/>
  <c r="H31" i="12"/>
  <c r="B50" i="12" s="1"/>
  <c r="C50" i="12" s="1"/>
  <c r="K30" i="12"/>
  <c r="H30" i="12"/>
  <c r="K29" i="12"/>
  <c r="I29" i="12"/>
  <c r="H29" i="12"/>
  <c r="B48" i="12" s="1"/>
  <c r="C48" i="12" s="1"/>
  <c r="K28" i="12"/>
  <c r="H28" i="12"/>
  <c r="K27" i="12"/>
  <c r="H27" i="12"/>
  <c r="B46" i="12" s="1"/>
  <c r="C46" i="12" s="1"/>
  <c r="K26" i="12"/>
  <c r="H26" i="12"/>
  <c r="K25" i="12"/>
  <c r="I25" i="12"/>
  <c r="H25" i="12"/>
  <c r="B44" i="12" s="1"/>
  <c r="C44" i="12" s="1"/>
  <c r="K24" i="12"/>
  <c r="H24" i="12"/>
  <c r="K23" i="12"/>
  <c r="H23" i="12"/>
  <c r="B42" i="12" s="1"/>
  <c r="C42" i="12" s="1"/>
  <c r="K18" i="12"/>
  <c r="D53" i="12" s="1"/>
  <c r="F18" i="12"/>
  <c r="F17" i="12"/>
  <c r="K16" i="12"/>
  <c r="D51" i="12" s="1"/>
  <c r="F16" i="12"/>
  <c r="F15" i="12"/>
  <c r="L14" i="12"/>
  <c r="F14" i="12"/>
  <c r="L13" i="12"/>
  <c r="F13" i="12"/>
  <c r="L12" i="12"/>
  <c r="F12" i="12"/>
  <c r="L11" i="12"/>
  <c r="F11" i="12"/>
  <c r="L10" i="12"/>
  <c r="F10" i="12"/>
  <c r="L9" i="12"/>
  <c r="F9" i="12"/>
  <c r="L8" i="12"/>
  <c r="F8" i="12"/>
  <c r="K7" i="12"/>
  <c r="N7" i="12" s="1"/>
  <c r="F7" i="12"/>
  <c r="L16" i="12" l="1"/>
  <c r="L18" i="12"/>
  <c r="M18" i="12" s="1"/>
  <c r="I23" i="12"/>
  <c r="I27" i="12"/>
  <c r="I31" i="12"/>
  <c r="L7" i="12"/>
  <c r="K8" i="12"/>
  <c r="M8" i="12" s="1"/>
  <c r="K15" i="12"/>
  <c r="N15" i="12" s="1"/>
  <c r="L15" i="12"/>
  <c r="K17" i="12"/>
  <c r="N17" i="12" s="1"/>
  <c r="L17" i="12"/>
  <c r="M7" i="12"/>
  <c r="M16" i="12"/>
  <c r="M17" i="12"/>
  <c r="B45" i="12"/>
  <c r="C45" i="12" s="1"/>
  <c r="I26" i="12"/>
  <c r="B49" i="12"/>
  <c r="C49" i="12" s="1"/>
  <c r="I30" i="12"/>
  <c r="B53" i="12"/>
  <c r="C53" i="12" s="1"/>
  <c r="F53" i="12" s="1"/>
  <c r="I34" i="12"/>
  <c r="D42" i="12"/>
  <c r="F42" i="12" s="1"/>
  <c r="N8" i="12"/>
  <c r="K9" i="12"/>
  <c r="K10" i="12"/>
  <c r="K11" i="12"/>
  <c r="K12" i="12"/>
  <c r="K13" i="12"/>
  <c r="K14" i="12"/>
  <c r="N16" i="12"/>
  <c r="N18" i="12"/>
  <c r="B43" i="12"/>
  <c r="C43" i="12" s="1"/>
  <c r="I24" i="12"/>
  <c r="B47" i="12"/>
  <c r="C47" i="12" s="1"/>
  <c r="I28" i="12"/>
  <c r="B51" i="12"/>
  <c r="C51" i="12" s="1"/>
  <c r="F51" i="12" s="1"/>
  <c r="I32" i="12"/>
  <c r="O53" i="10"/>
  <c r="O52" i="10"/>
  <c r="O51" i="10"/>
  <c r="O50" i="10"/>
  <c r="O49" i="10"/>
  <c r="O48" i="10"/>
  <c r="O47" i="10"/>
  <c r="O46" i="10"/>
  <c r="O45" i="10"/>
  <c r="O44" i="10"/>
  <c r="O43" i="10"/>
  <c r="O42" i="10"/>
  <c r="C42" i="10"/>
  <c r="C43" i="10"/>
  <c r="C44" i="10"/>
  <c r="C45" i="10"/>
  <c r="C46" i="10"/>
  <c r="C47" i="10"/>
  <c r="C48" i="10"/>
  <c r="C49" i="10"/>
  <c r="C50" i="10"/>
  <c r="C51" i="10"/>
  <c r="C52" i="10"/>
  <c r="C53" i="10"/>
  <c r="F42" i="10"/>
  <c r="F43" i="10"/>
  <c r="F44" i="10"/>
  <c r="F45" i="10"/>
  <c r="F46" i="10"/>
  <c r="F47" i="10"/>
  <c r="F48" i="10"/>
  <c r="F49" i="10"/>
  <c r="F50" i="10"/>
  <c r="F51" i="10"/>
  <c r="F52" i="10"/>
  <c r="F53" i="10"/>
  <c r="I42" i="10"/>
  <c r="I43" i="10"/>
  <c r="I44" i="10"/>
  <c r="I45" i="10"/>
  <c r="I46" i="10"/>
  <c r="I47" i="10"/>
  <c r="I48" i="10"/>
  <c r="I49" i="10"/>
  <c r="I50" i="10"/>
  <c r="I51" i="10"/>
  <c r="I52" i="10"/>
  <c r="I53" i="10"/>
  <c r="L42" i="10"/>
  <c r="D52" i="12" l="1"/>
  <c r="F52" i="12" s="1"/>
  <c r="D50" i="12"/>
  <c r="F50" i="12" s="1"/>
  <c r="M15" i="12"/>
  <c r="D43" i="12"/>
  <c r="N13" i="12"/>
  <c r="D48" i="12"/>
  <c r="F48" i="12" s="1"/>
  <c r="M13" i="12"/>
  <c r="N11" i="12"/>
  <c r="D46" i="12"/>
  <c r="F46" i="12" s="1"/>
  <c r="M11" i="12"/>
  <c r="N9" i="12"/>
  <c r="D44" i="12"/>
  <c r="F44" i="12" s="1"/>
  <c r="M9" i="12"/>
  <c r="F43" i="12"/>
  <c r="D49" i="12"/>
  <c r="F49" i="12" s="1"/>
  <c r="N14" i="12"/>
  <c r="M14" i="12"/>
  <c r="D47" i="12"/>
  <c r="F47" i="12" s="1"/>
  <c r="N12" i="12"/>
  <c r="M12" i="12"/>
  <c r="D45" i="12"/>
  <c r="F45" i="12" s="1"/>
  <c r="N10" i="12"/>
  <c r="M10" i="12"/>
  <c r="J18" i="9"/>
  <c r="I18" i="9"/>
  <c r="J17" i="9"/>
  <c r="I17" i="9"/>
  <c r="J16" i="9"/>
  <c r="I16" i="9"/>
  <c r="J15" i="9"/>
  <c r="I15" i="9"/>
  <c r="J14" i="9"/>
  <c r="I14" i="9"/>
  <c r="J13" i="9"/>
  <c r="I13" i="9"/>
  <c r="J12" i="9"/>
  <c r="I12" i="9"/>
  <c r="J11" i="9"/>
  <c r="I11" i="9"/>
  <c r="J10" i="9"/>
  <c r="I10" i="9"/>
  <c r="J9" i="9"/>
  <c r="I9" i="9"/>
  <c r="J8" i="9"/>
  <c r="I8" i="9"/>
  <c r="J7" i="9"/>
  <c r="I7" i="9"/>
  <c r="J18" i="5"/>
  <c r="I18" i="5"/>
  <c r="J17" i="5"/>
  <c r="I17" i="5"/>
  <c r="I16" i="5"/>
  <c r="J16" i="5"/>
  <c r="J15" i="5"/>
  <c r="I15" i="5"/>
  <c r="J14" i="5"/>
  <c r="I14" i="5"/>
  <c r="J13" i="5"/>
  <c r="I13" i="5"/>
  <c r="J12" i="5"/>
  <c r="I12" i="5"/>
  <c r="J11" i="5"/>
  <c r="I11" i="5"/>
  <c r="J10" i="5"/>
  <c r="I10" i="5"/>
  <c r="J9" i="5"/>
  <c r="I9" i="5"/>
  <c r="J8" i="5"/>
  <c r="I8" i="5"/>
  <c r="J7" i="5"/>
  <c r="I7" i="5"/>
  <c r="J18" i="4"/>
  <c r="I18" i="4"/>
  <c r="J17" i="4"/>
  <c r="I17" i="4"/>
  <c r="J16" i="4"/>
  <c r="I16" i="4"/>
  <c r="J15" i="4"/>
  <c r="I15" i="4"/>
  <c r="J14" i="4"/>
  <c r="I14" i="4"/>
  <c r="J13" i="4"/>
  <c r="I13" i="4"/>
  <c r="J12" i="4"/>
  <c r="I12" i="4"/>
  <c r="J11" i="4"/>
  <c r="I11" i="4"/>
  <c r="J10" i="4"/>
  <c r="I10" i="4"/>
  <c r="J9" i="4"/>
  <c r="I9" i="4"/>
  <c r="J8" i="4"/>
  <c r="I8" i="4"/>
  <c r="J7" i="4"/>
  <c r="I7" i="4"/>
  <c r="J11" i="7" l="1"/>
  <c r="I11" i="7"/>
  <c r="J18" i="7"/>
  <c r="I18" i="7"/>
  <c r="J17" i="7"/>
  <c r="I17" i="7"/>
  <c r="J16" i="7"/>
  <c r="I16" i="7"/>
  <c r="J15" i="7"/>
  <c r="I15" i="7"/>
  <c r="J14" i="7"/>
  <c r="I14" i="7"/>
  <c r="J13" i="7"/>
  <c r="I13" i="7"/>
  <c r="J12" i="7"/>
  <c r="I12" i="7"/>
  <c r="J10" i="7"/>
  <c r="I10" i="7"/>
  <c r="J9" i="7"/>
  <c r="I9" i="7"/>
  <c r="J8" i="7"/>
  <c r="I8" i="7"/>
  <c r="J7" i="7"/>
  <c r="I7" i="7"/>
  <c r="L53" i="10" l="1"/>
  <c r="L52" i="10"/>
  <c r="N52" i="10" s="1"/>
  <c r="E67" i="10" s="1"/>
  <c r="L51" i="10"/>
  <c r="L50" i="10"/>
  <c r="N50" i="10" s="1"/>
  <c r="E65" i="10" s="1"/>
  <c r="L49" i="10"/>
  <c r="L48" i="10"/>
  <c r="N48" i="10" s="1"/>
  <c r="E63" i="10" s="1"/>
  <c r="L47" i="10"/>
  <c r="L46" i="10"/>
  <c r="N46" i="10" s="1"/>
  <c r="E61" i="10" s="1"/>
  <c r="L45" i="10"/>
  <c r="L44" i="10"/>
  <c r="N44" i="10" s="1"/>
  <c r="E59" i="10" s="1"/>
  <c r="L43" i="10"/>
  <c r="N42" i="10"/>
  <c r="E57" i="10" s="1"/>
  <c r="K53" i="10"/>
  <c r="D68" i="10" s="1"/>
  <c r="K52" i="10"/>
  <c r="D67" i="10" s="1"/>
  <c r="K50" i="10"/>
  <c r="D65" i="10" s="1"/>
  <c r="K48" i="10"/>
  <c r="D63" i="10" s="1"/>
  <c r="K47" i="10"/>
  <c r="D62" i="10" s="1"/>
  <c r="K46" i="10"/>
  <c r="D61" i="10" s="1"/>
  <c r="K45" i="10"/>
  <c r="D60" i="10" s="1"/>
  <c r="K44" i="10"/>
  <c r="D59" i="10" s="1"/>
  <c r="K42" i="10"/>
  <c r="D57" i="10" s="1"/>
  <c r="H52" i="10"/>
  <c r="C67" i="10" s="1"/>
  <c r="H51" i="10"/>
  <c r="C66" i="10" s="1"/>
  <c r="H50" i="10"/>
  <c r="C65" i="10" s="1"/>
  <c r="H49" i="10"/>
  <c r="C64" i="10" s="1"/>
  <c r="H48" i="10"/>
  <c r="C63" i="10" s="1"/>
  <c r="H46" i="10"/>
  <c r="C61" i="10" s="1"/>
  <c r="H44" i="10"/>
  <c r="C59" i="10" s="1"/>
  <c r="H43" i="10"/>
  <c r="C58" i="10" s="1"/>
  <c r="E52" i="10"/>
  <c r="B67" i="10" s="1"/>
  <c r="E50" i="10"/>
  <c r="B65" i="10" s="1"/>
  <c r="E46" i="10"/>
  <c r="B61" i="10" s="1"/>
  <c r="E44" i="10"/>
  <c r="B59" i="10" s="1"/>
  <c r="A68" i="10"/>
  <c r="A67" i="10"/>
  <c r="A66" i="10"/>
  <c r="A65" i="10"/>
  <c r="A64" i="10"/>
  <c r="A63" i="10"/>
  <c r="A62" i="10"/>
  <c r="A61" i="10"/>
  <c r="A60" i="10"/>
  <c r="A59" i="10"/>
  <c r="A58" i="10"/>
  <c r="A57" i="10"/>
  <c r="Q53" i="10"/>
  <c r="F68" i="10" s="1"/>
  <c r="N53" i="10"/>
  <c r="E68" i="10" s="1"/>
  <c r="H53" i="10"/>
  <c r="C68" i="10" s="1"/>
  <c r="E53" i="10"/>
  <c r="B68" i="10" s="1"/>
  <c r="Q52" i="10"/>
  <c r="F67" i="10" s="1"/>
  <c r="Q51" i="10"/>
  <c r="F66" i="10" s="1"/>
  <c r="N51" i="10"/>
  <c r="E66" i="10" s="1"/>
  <c r="K51" i="10"/>
  <c r="D66" i="10" s="1"/>
  <c r="E51" i="10"/>
  <c r="B66" i="10" s="1"/>
  <c r="Q50" i="10"/>
  <c r="F65" i="10" s="1"/>
  <c r="Q49" i="10"/>
  <c r="F64" i="10" s="1"/>
  <c r="N49" i="10"/>
  <c r="E64" i="10" s="1"/>
  <c r="K49" i="10"/>
  <c r="D64" i="10" s="1"/>
  <c r="E49" i="10"/>
  <c r="B64" i="10" s="1"/>
  <c r="Q48" i="10"/>
  <c r="F63" i="10" s="1"/>
  <c r="E48" i="10"/>
  <c r="B63" i="10" s="1"/>
  <c r="Q47" i="10"/>
  <c r="F62" i="10" s="1"/>
  <c r="N47" i="10"/>
  <c r="E62" i="10" s="1"/>
  <c r="H47" i="10"/>
  <c r="C62" i="10" s="1"/>
  <c r="E47" i="10"/>
  <c r="B62" i="10" s="1"/>
  <c r="Q46" i="10"/>
  <c r="F61" i="10" s="1"/>
  <c r="Q45" i="10"/>
  <c r="F60" i="10" s="1"/>
  <c r="N45" i="10"/>
  <c r="E60" i="10" s="1"/>
  <c r="H45" i="10"/>
  <c r="C60" i="10" s="1"/>
  <c r="E45" i="10"/>
  <c r="B60" i="10" s="1"/>
  <c r="Q44" i="10"/>
  <c r="F59" i="10" s="1"/>
  <c r="Q43" i="10"/>
  <c r="F58" i="10" s="1"/>
  <c r="N43" i="10"/>
  <c r="E58" i="10" s="1"/>
  <c r="K43" i="10"/>
  <c r="D58" i="10" s="1"/>
  <c r="E43" i="10"/>
  <c r="B58" i="10" s="1"/>
  <c r="Q42" i="10"/>
  <c r="F57" i="10" s="1"/>
  <c r="H42" i="10"/>
  <c r="C57" i="10" s="1"/>
  <c r="E42" i="10"/>
  <c r="B57" i="10" s="1"/>
  <c r="A29" i="10"/>
  <c r="A28" i="10"/>
  <c r="A27" i="10"/>
  <c r="A26" i="10"/>
  <c r="A25" i="10"/>
  <c r="A24" i="10"/>
  <c r="A23" i="10"/>
  <c r="A22" i="10"/>
  <c r="A21" i="10"/>
  <c r="A20" i="10"/>
  <c r="A19" i="10"/>
  <c r="A18" i="10"/>
  <c r="Q14" i="10"/>
  <c r="F29" i="10" s="1"/>
  <c r="Q13" i="10"/>
  <c r="F28" i="10" s="1"/>
  <c r="Q12" i="10"/>
  <c r="F27" i="10" s="1"/>
  <c r="Q11" i="10"/>
  <c r="F26" i="10" s="1"/>
  <c r="Q10" i="10"/>
  <c r="F25" i="10" s="1"/>
  <c r="Q9" i="10"/>
  <c r="F24" i="10" s="1"/>
  <c r="Q8" i="10"/>
  <c r="F23" i="10" s="1"/>
  <c r="Q7" i="10"/>
  <c r="F22" i="10" s="1"/>
  <c r="Q6" i="10"/>
  <c r="F21" i="10" s="1"/>
  <c r="Q5" i="10"/>
  <c r="F20" i="10" s="1"/>
  <c r="Q4" i="10"/>
  <c r="F19" i="10" s="1"/>
  <c r="Q3" i="10"/>
  <c r="F18" i="10" s="1"/>
  <c r="N14" i="10"/>
  <c r="E29" i="10" s="1"/>
  <c r="N13" i="10"/>
  <c r="E28" i="10" s="1"/>
  <c r="N12" i="10"/>
  <c r="E27" i="10" s="1"/>
  <c r="N11" i="10"/>
  <c r="E26" i="10" s="1"/>
  <c r="N10" i="10"/>
  <c r="E25" i="10" s="1"/>
  <c r="N9" i="10"/>
  <c r="E24" i="10" s="1"/>
  <c r="N8" i="10"/>
  <c r="E23" i="10" s="1"/>
  <c r="N7" i="10"/>
  <c r="E22" i="10" s="1"/>
  <c r="N6" i="10"/>
  <c r="E21" i="10" s="1"/>
  <c r="N5" i="10"/>
  <c r="E20" i="10" s="1"/>
  <c r="N4" i="10"/>
  <c r="E19" i="10" s="1"/>
  <c r="N3" i="10"/>
  <c r="E18" i="10" s="1"/>
  <c r="K14" i="10"/>
  <c r="D29" i="10" s="1"/>
  <c r="K13" i="10"/>
  <c r="D28" i="10" s="1"/>
  <c r="K12" i="10"/>
  <c r="D27" i="10" s="1"/>
  <c r="K11" i="10"/>
  <c r="D26" i="10" s="1"/>
  <c r="K10" i="10"/>
  <c r="D25" i="10" s="1"/>
  <c r="K9" i="10"/>
  <c r="D24" i="10" s="1"/>
  <c r="K8" i="10"/>
  <c r="D23" i="10" s="1"/>
  <c r="K7" i="10"/>
  <c r="D22" i="10" s="1"/>
  <c r="K6" i="10"/>
  <c r="D21" i="10" s="1"/>
  <c r="K5" i="10"/>
  <c r="D20" i="10" s="1"/>
  <c r="K4" i="10"/>
  <c r="D19" i="10" s="1"/>
  <c r="K3" i="10"/>
  <c r="D18" i="10" s="1"/>
  <c r="H14" i="10"/>
  <c r="C29" i="10" s="1"/>
  <c r="H13" i="10"/>
  <c r="C28" i="10" s="1"/>
  <c r="H12" i="10"/>
  <c r="C27" i="10" s="1"/>
  <c r="H11" i="10"/>
  <c r="C26" i="10" s="1"/>
  <c r="H10" i="10"/>
  <c r="C25" i="10" s="1"/>
  <c r="H9" i="10"/>
  <c r="C24" i="10" s="1"/>
  <c r="H8" i="10"/>
  <c r="C23" i="10" s="1"/>
  <c r="H7" i="10"/>
  <c r="C22" i="10" s="1"/>
  <c r="H6" i="10"/>
  <c r="C21" i="10" s="1"/>
  <c r="H5" i="10"/>
  <c r="C20" i="10" s="1"/>
  <c r="H4" i="10"/>
  <c r="C19" i="10" s="1"/>
  <c r="H3" i="10"/>
  <c r="C18" i="10" s="1"/>
  <c r="E14" i="10"/>
  <c r="B29" i="10" s="1"/>
  <c r="E13" i="10"/>
  <c r="B28" i="10" s="1"/>
  <c r="E12" i="10"/>
  <c r="B27" i="10" s="1"/>
  <c r="E11" i="10"/>
  <c r="B26" i="10" s="1"/>
  <c r="E10" i="10"/>
  <c r="B25" i="10" s="1"/>
  <c r="E9" i="10"/>
  <c r="B24" i="10" s="1"/>
  <c r="E8" i="10"/>
  <c r="B23" i="10" s="1"/>
  <c r="E7" i="10"/>
  <c r="B22" i="10" s="1"/>
  <c r="E6" i="10"/>
  <c r="B21" i="10" s="1"/>
  <c r="E5" i="10"/>
  <c r="B20" i="10" s="1"/>
  <c r="E4" i="10"/>
  <c r="B19" i="10" s="1"/>
  <c r="E3" i="10"/>
  <c r="B18" i="10" s="1"/>
  <c r="E53" i="9"/>
  <c r="E52" i="9"/>
  <c r="E51" i="9"/>
  <c r="E50" i="9"/>
  <c r="E49" i="9"/>
  <c r="E48" i="9"/>
  <c r="E47" i="9"/>
  <c r="E46" i="9"/>
  <c r="E45" i="9"/>
  <c r="E44" i="9"/>
  <c r="E43" i="9"/>
  <c r="E42" i="9"/>
  <c r="B39" i="9"/>
  <c r="B53" i="9" s="1"/>
  <c r="C53" i="9" s="1"/>
  <c r="K34" i="9"/>
  <c r="I34" i="9"/>
  <c r="H34" i="9"/>
  <c r="K33" i="9"/>
  <c r="H33" i="9"/>
  <c r="K32" i="9"/>
  <c r="I32" i="9"/>
  <c r="H32" i="9"/>
  <c r="K31" i="9"/>
  <c r="H31" i="9"/>
  <c r="B50" i="9" s="1"/>
  <c r="C50" i="9" s="1"/>
  <c r="K30" i="9"/>
  <c r="I30" i="9"/>
  <c r="H30" i="9"/>
  <c r="K29" i="9"/>
  <c r="H29" i="9"/>
  <c r="K28" i="9"/>
  <c r="I28" i="9"/>
  <c r="H28" i="9"/>
  <c r="K27" i="9"/>
  <c r="H27" i="9"/>
  <c r="B46" i="9" s="1"/>
  <c r="C46" i="9" s="1"/>
  <c r="K26" i="9"/>
  <c r="I26" i="9"/>
  <c r="H26" i="9"/>
  <c r="K25" i="9"/>
  <c r="H25" i="9"/>
  <c r="K24" i="9"/>
  <c r="I24" i="9"/>
  <c r="H24" i="9"/>
  <c r="K23" i="9"/>
  <c r="H23" i="9"/>
  <c r="B42" i="9" s="1"/>
  <c r="C42" i="9" s="1"/>
  <c r="L18" i="9"/>
  <c r="F18" i="9"/>
  <c r="K17" i="9"/>
  <c r="F17" i="9"/>
  <c r="L16" i="9"/>
  <c r="K16" i="9"/>
  <c r="F16" i="9"/>
  <c r="L15" i="9"/>
  <c r="F15" i="9"/>
  <c r="L14" i="9"/>
  <c r="F14" i="9"/>
  <c r="L13" i="9"/>
  <c r="F13" i="9"/>
  <c r="L12" i="9"/>
  <c r="F12" i="9"/>
  <c r="L11" i="9"/>
  <c r="F11" i="9"/>
  <c r="L10" i="9"/>
  <c r="F10" i="9"/>
  <c r="L9" i="9"/>
  <c r="F9" i="9"/>
  <c r="L8" i="9"/>
  <c r="F8" i="9"/>
  <c r="L7" i="9"/>
  <c r="F7" i="9"/>
  <c r="B44" i="9" l="1"/>
  <c r="C44" i="9" s="1"/>
  <c r="B48" i="9"/>
  <c r="C48" i="9" s="1"/>
  <c r="B52" i="9"/>
  <c r="C52" i="9" s="1"/>
  <c r="K7" i="9"/>
  <c r="K9" i="9"/>
  <c r="K11" i="9"/>
  <c r="K13" i="9"/>
  <c r="K15" i="9"/>
  <c r="D51" i="9"/>
  <c r="N16" i="9"/>
  <c r="K8" i="9"/>
  <c r="M8" i="9" s="1"/>
  <c r="K10" i="9"/>
  <c r="K12" i="9"/>
  <c r="M12" i="9" s="1"/>
  <c r="K14" i="9"/>
  <c r="M16" i="9"/>
  <c r="D52" i="9"/>
  <c r="N17" i="9"/>
  <c r="L17" i="9"/>
  <c r="M17" i="9" s="1"/>
  <c r="K18" i="9"/>
  <c r="B43" i="9"/>
  <c r="C43" i="9" s="1"/>
  <c r="B45" i="9"/>
  <c r="C45" i="9" s="1"/>
  <c r="B47" i="9"/>
  <c r="C47" i="9" s="1"/>
  <c r="B49" i="9"/>
  <c r="C49" i="9" s="1"/>
  <c r="B51" i="9"/>
  <c r="C51" i="9" s="1"/>
  <c r="I23" i="9"/>
  <c r="I25" i="9"/>
  <c r="I27" i="9"/>
  <c r="I29" i="9"/>
  <c r="I31" i="9"/>
  <c r="I33" i="9"/>
  <c r="K7" i="7"/>
  <c r="E53" i="7"/>
  <c r="E52" i="7"/>
  <c r="E51" i="7"/>
  <c r="E50" i="7"/>
  <c r="E49" i="7"/>
  <c r="E48" i="7"/>
  <c r="E47" i="7"/>
  <c r="E46" i="7"/>
  <c r="E45" i="7"/>
  <c r="E44" i="7"/>
  <c r="E43" i="7"/>
  <c r="E42" i="7"/>
  <c r="B39" i="7"/>
  <c r="K34" i="7"/>
  <c r="H34" i="7"/>
  <c r="K33" i="7"/>
  <c r="H33" i="7"/>
  <c r="B52" i="7" s="1"/>
  <c r="C52" i="7" s="1"/>
  <c r="K32" i="7"/>
  <c r="H32" i="7"/>
  <c r="B51" i="7" s="1"/>
  <c r="C51" i="7" s="1"/>
  <c r="K31" i="7"/>
  <c r="I31" i="7"/>
  <c r="H31" i="7"/>
  <c r="K30" i="7"/>
  <c r="H30" i="7"/>
  <c r="K29" i="7"/>
  <c r="H29" i="7"/>
  <c r="K28" i="7"/>
  <c r="H28" i="7"/>
  <c r="K27" i="7"/>
  <c r="H27" i="7"/>
  <c r="K26" i="7"/>
  <c r="H26" i="7"/>
  <c r="K25" i="7"/>
  <c r="H25" i="7"/>
  <c r="K24" i="7"/>
  <c r="H24" i="7"/>
  <c r="K23" i="7"/>
  <c r="H23" i="7"/>
  <c r="B42" i="7" s="1"/>
  <c r="C42" i="7" s="1"/>
  <c r="K18" i="7"/>
  <c r="F18" i="7"/>
  <c r="K17" i="7"/>
  <c r="F17" i="7"/>
  <c r="K16" i="7"/>
  <c r="F16" i="7"/>
  <c r="K15" i="7"/>
  <c r="F15" i="7"/>
  <c r="K14" i="7"/>
  <c r="F14" i="7"/>
  <c r="K13" i="7"/>
  <c r="F13" i="7"/>
  <c r="K12" i="7"/>
  <c r="F12" i="7"/>
  <c r="K11" i="7"/>
  <c r="F11" i="7"/>
  <c r="K10" i="7"/>
  <c r="F10" i="7"/>
  <c r="K9" i="7"/>
  <c r="F9" i="7"/>
  <c r="K8" i="7"/>
  <c r="F8" i="7"/>
  <c r="F7" i="7"/>
  <c r="I23" i="7" l="1"/>
  <c r="B43" i="7"/>
  <c r="C43" i="7" s="1"/>
  <c r="B44" i="7"/>
  <c r="C44" i="7" s="1"/>
  <c r="B46" i="7"/>
  <c r="C46" i="7" s="1"/>
  <c r="B47" i="7"/>
  <c r="C47" i="7" s="1"/>
  <c r="B48" i="7"/>
  <c r="C48" i="7" s="1"/>
  <c r="B50" i="7"/>
  <c r="C50" i="7" s="1"/>
  <c r="I27" i="7"/>
  <c r="F52" i="9"/>
  <c r="N18" i="9"/>
  <c r="D53" i="9"/>
  <c r="F53" i="9" s="1"/>
  <c r="M18" i="9"/>
  <c r="D49" i="9"/>
  <c r="F49" i="9" s="1"/>
  <c r="N14" i="9"/>
  <c r="D45" i="9"/>
  <c r="F45" i="9" s="1"/>
  <c r="N10" i="9"/>
  <c r="D50" i="9"/>
  <c r="F50" i="9" s="1"/>
  <c r="N15" i="9"/>
  <c r="D48" i="9"/>
  <c r="F48" i="9" s="1"/>
  <c r="N13" i="9"/>
  <c r="D44" i="9"/>
  <c r="F44" i="9" s="1"/>
  <c r="N9" i="9"/>
  <c r="M14" i="9"/>
  <c r="M10" i="9"/>
  <c r="D47" i="9"/>
  <c r="F47" i="9" s="1"/>
  <c r="N12" i="9"/>
  <c r="D43" i="9"/>
  <c r="F43" i="9" s="1"/>
  <c r="N8" i="9"/>
  <c r="F51" i="9"/>
  <c r="M15" i="9"/>
  <c r="D46" i="9"/>
  <c r="F46" i="9" s="1"/>
  <c r="N11" i="9"/>
  <c r="D42" i="9"/>
  <c r="F42" i="9" s="1"/>
  <c r="N7" i="9"/>
  <c r="M13" i="9"/>
  <c r="M11" i="9"/>
  <c r="M9" i="9"/>
  <c r="M7" i="9"/>
  <c r="I25" i="7"/>
  <c r="B45" i="7"/>
  <c r="C45" i="7" s="1"/>
  <c r="I29" i="7"/>
  <c r="B49" i="7"/>
  <c r="C49" i="7" s="1"/>
  <c r="I33" i="7"/>
  <c r="B53" i="7"/>
  <c r="C53" i="7" s="1"/>
  <c r="D42" i="7"/>
  <c r="F42" i="7" s="1"/>
  <c r="N7" i="7"/>
  <c r="D43" i="7"/>
  <c r="N8" i="7"/>
  <c r="D45" i="7"/>
  <c r="N10" i="7"/>
  <c r="D47" i="7"/>
  <c r="F47" i="7" s="1"/>
  <c r="N12" i="7"/>
  <c r="D49" i="7"/>
  <c r="N14" i="7"/>
  <c r="D51" i="7"/>
  <c r="F51" i="7" s="1"/>
  <c r="N16" i="7"/>
  <c r="D53" i="7"/>
  <c r="N18" i="7"/>
  <c r="D44" i="7"/>
  <c r="F44" i="7" s="1"/>
  <c r="N9" i="7"/>
  <c r="D46" i="7"/>
  <c r="N11" i="7"/>
  <c r="D48" i="7"/>
  <c r="N13" i="7"/>
  <c r="D50" i="7"/>
  <c r="F50" i="7" s="1"/>
  <c r="N15" i="7"/>
  <c r="D52" i="7"/>
  <c r="F52" i="7" s="1"/>
  <c r="N17" i="7"/>
  <c r="L7" i="7"/>
  <c r="M7" i="7" s="1"/>
  <c r="L8" i="7"/>
  <c r="M8" i="7" s="1"/>
  <c r="L9" i="7"/>
  <c r="M9" i="7" s="1"/>
  <c r="L10" i="7"/>
  <c r="M10" i="7" s="1"/>
  <c r="L11" i="7"/>
  <c r="M11" i="7" s="1"/>
  <c r="L12" i="7"/>
  <c r="M12" i="7" s="1"/>
  <c r="L13" i="7"/>
  <c r="M13" i="7" s="1"/>
  <c r="L14" i="7"/>
  <c r="M14" i="7" s="1"/>
  <c r="L15" i="7"/>
  <c r="M15" i="7" s="1"/>
  <c r="L16" i="7"/>
  <c r="M16" i="7" s="1"/>
  <c r="L17" i="7"/>
  <c r="M17" i="7" s="1"/>
  <c r="L18" i="7"/>
  <c r="M18" i="7" s="1"/>
  <c r="I24" i="7"/>
  <c r="I26" i="7"/>
  <c r="I28" i="7"/>
  <c r="I30" i="7"/>
  <c r="I32" i="7"/>
  <c r="I34" i="7"/>
  <c r="F12" i="5"/>
  <c r="K12" i="5"/>
  <c r="F11" i="5"/>
  <c r="K11" i="5"/>
  <c r="F48" i="7" l="1"/>
  <c r="F46" i="7"/>
  <c r="F53" i="7"/>
  <c r="F49" i="7"/>
  <c r="F45" i="7"/>
  <c r="F43" i="7"/>
  <c r="N12" i="5"/>
  <c r="D47" i="5"/>
  <c r="N11" i="5"/>
  <c r="D46" i="5"/>
  <c r="L11" i="5"/>
  <c r="L12" i="5"/>
  <c r="M12" i="5" s="1"/>
  <c r="M11" i="5"/>
  <c r="E53" i="5"/>
  <c r="E52" i="5"/>
  <c r="E51" i="5"/>
  <c r="E50" i="5"/>
  <c r="E49" i="5"/>
  <c r="E48" i="5"/>
  <c r="E47" i="5"/>
  <c r="E46" i="5"/>
  <c r="E45" i="5"/>
  <c r="E44" i="5"/>
  <c r="E43" i="5"/>
  <c r="E42" i="5"/>
  <c r="B39" i="5"/>
  <c r="K34" i="5"/>
  <c r="H34" i="5"/>
  <c r="I34" i="5" s="1"/>
  <c r="K33" i="5"/>
  <c r="H33" i="5"/>
  <c r="K32" i="5"/>
  <c r="I32" i="5"/>
  <c r="H32" i="5"/>
  <c r="K31" i="5"/>
  <c r="H31" i="5"/>
  <c r="K30" i="5"/>
  <c r="H30" i="5"/>
  <c r="I30" i="5" s="1"/>
  <c r="K29" i="5"/>
  <c r="H29" i="5"/>
  <c r="K28" i="5"/>
  <c r="H28" i="5"/>
  <c r="I28" i="5" s="1"/>
  <c r="K27" i="5"/>
  <c r="H27" i="5"/>
  <c r="K26" i="5"/>
  <c r="H26" i="5"/>
  <c r="I26" i="5" s="1"/>
  <c r="K25" i="5"/>
  <c r="H25" i="5"/>
  <c r="K24" i="5"/>
  <c r="H24" i="5"/>
  <c r="I24" i="5" s="1"/>
  <c r="K23" i="5"/>
  <c r="H23" i="5"/>
  <c r="L18" i="5"/>
  <c r="F18" i="5"/>
  <c r="L17" i="5"/>
  <c r="F17" i="5"/>
  <c r="L16" i="5"/>
  <c r="F16" i="5"/>
  <c r="L15" i="5"/>
  <c r="F15" i="5"/>
  <c r="L14" i="5"/>
  <c r="F14" i="5"/>
  <c r="L13" i="5"/>
  <c r="F13" i="5"/>
  <c r="L10" i="5"/>
  <c r="F10" i="5"/>
  <c r="L9" i="5"/>
  <c r="F9" i="5"/>
  <c r="K8" i="5"/>
  <c r="D43" i="5" s="1"/>
  <c r="F8" i="5"/>
  <c r="L7" i="5"/>
  <c r="F7" i="5"/>
  <c r="L18" i="4"/>
  <c r="F18" i="4"/>
  <c r="K17" i="4"/>
  <c r="N17" i="4" s="1"/>
  <c r="F17" i="4"/>
  <c r="L16" i="4"/>
  <c r="K16" i="4"/>
  <c r="N16" i="4" s="1"/>
  <c r="F16" i="4"/>
  <c r="L15" i="4"/>
  <c r="F15" i="4"/>
  <c r="K14" i="4"/>
  <c r="N14" i="4" s="1"/>
  <c r="F14" i="4"/>
  <c r="L13" i="4"/>
  <c r="K13" i="4"/>
  <c r="N13" i="4" s="1"/>
  <c r="F13" i="4"/>
  <c r="L12" i="4"/>
  <c r="K12" i="4"/>
  <c r="N12" i="4" s="1"/>
  <c r="F12" i="4"/>
  <c r="K11" i="4"/>
  <c r="N11" i="4" s="1"/>
  <c r="F11" i="4"/>
  <c r="L10" i="4"/>
  <c r="K10" i="4"/>
  <c r="N10" i="4" s="1"/>
  <c r="F10" i="4"/>
  <c r="K9" i="4"/>
  <c r="N9" i="4" s="1"/>
  <c r="F9" i="4"/>
  <c r="L8" i="4"/>
  <c r="K8" i="4"/>
  <c r="N8" i="4" s="1"/>
  <c r="F8" i="4"/>
  <c r="K7" i="4"/>
  <c r="N7" i="4" s="1"/>
  <c r="F7" i="4"/>
  <c r="E53" i="4"/>
  <c r="E52" i="4"/>
  <c r="E51" i="4"/>
  <c r="E50" i="4"/>
  <c r="E49" i="4"/>
  <c r="E48" i="4"/>
  <c r="E47" i="4"/>
  <c r="E46" i="4"/>
  <c r="E45" i="4"/>
  <c r="E44" i="4"/>
  <c r="E43" i="4"/>
  <c r="E42" i="4"/>
  <c r="B39" i="4"/>
  <c r="K34" i="4"/>
  <c r="H34" i="4"/>
  <c r="B53" i="4" s="1"/>
  <c r="C53" i="4" s="1"/>
  <c r="K33" i="4"/>
  <c r="I33" i="4"/>
  <c r="H33" i="4"/>
  <c r="K32" i="4"/>
  <c r="H32" i="4"/>
  <c r="B51" i="4" s="1"/>
  <c r="C51" i="4" s="1"/>
  <c r="K31" i="4"/>
  <c r="H31" i="4"/>
  <c r="B50" i="4" s="1"/>
  <c r="C50" i="4" s="1"/>
  <c r="K30" i="4"/>
  <c r="H30" i="4"/>
  <c r="B49" i="4" s="1"/>
  <c r="C49" i="4" s="1"/>
  <c r="K29" i="4"/>
  <c r="I29" i="4"/>
  <c r="H29" i="4"/>
  <c r="K28" i="4"/>
  <c r="H28" i="4"/>
  <c r="B47" i="4" s="1"/>
  <c r="C47" i="4" s="1"/>
  <c r="K27" i="4"/>
  <c r="H27" i="4"/>
  <c r="B46" i="4" s="1"/>
  <c r="C46" i="4" s="1"/>
  <c r="K26" i="4"/>
  <c r="H26" i="4"/>
  <c r="B45" i="4" s="1"/>
  <c r="C45" i="4" s="1"/>
  <c r="K25" i="4"/>
  <c r="I25" i="4"/>
  <c r="H25" i="4"/>
  <c r="K24" i="4"/>
  <c r="H24" i="4"/>
  <c r="K23" i="4"/>
  <c r="H23" i="4"/>
  <c r="B42" i="4" s="1"/>
  <c r="C42" i="4" s="1"/>
  <c r="I23" i="4" l="1"/>
  <c r="B43" i="4"/>
  <c r="C43" i="4" s="1"/>
  <c r="I27" i="4"/>
  <c r="I31" i="4"/>
  <c r="M10" i="4"/>
  <c r="B52" i="4"/>
  <c r="C52" i="4" s="1"/>
  <c r="M8" i="4"/>
  <c r="B42" i="5"/>
  <c r="C42" i="5" s="1"/>
  <c r="B46" i="5"/>
  <c r="C46" i="5" s="1"/>
  <c r="B50" i="5"/>
  <c r="C50" i="5" s="1"/>
  <c r="B53" i="5"/>
  <c r="C53" i="5" s="1"/>
  <c r="B44" i="5"/>
  <c r="C44" i="5" s="1"/>
  <c r="B48" i="5"/>
  <c r="C48" i="5" s="1"/>
  <c r="B52" i="5"/>
  <c r="C52" i="5" s="1"/>
  <c r="K7" i="5"/>
  <c r="N8" i="5"/>
  <c r="K15" i="5"/>
  <c r="L8" i="5"/>
  <c r="M8" i="5" s="1"/>
  <c r="K9" i="5"/>
  <c r="K10" i="5"/>
  <c r="K13" i="5"/>
  <c r="K14" i="5"/>
  <c r="K16" i="5"/>
  <c r="D51" i="5" s="1"/>
  <c r="K17" i="5"/>
  <c r="K18" i="5"/>
  <c r="D53" i="5" s="1"/>
  <c r="B43" i="5"/>
  <c r="C43" i="5" s="1"/>
  <c r="F43" i="5" s="1"/>
  <c r="B45" i="5"/>
  <c r="C45" i="5" s="1"/>
  <c r="B47" i="5"/>
  <c r="C47" i="5" s="1"/>
  <c r="B49" i="5"/>
  <c r="C49" i="5" s="1"/>
  <c r="B51" i="5"/>
  <c r="C51" i="5" s="1"/>
  <c r="I23" i="5"/>
  <c r="I25" i="5"/>
  <c r="I27" i="5"/>
  <c r="I29" i="5"/>
  <c r="I31" i="5"/>
  <c r="I33" i="5"/>
  <c r="B44" i="4"/>
  <c r="C44" i="4" s="1"/>
  <c r="B48" i="4"/>
  <c r="C48" i="4" s="1"/>
  <c r="M12" i="4"/>
  <c r="M13" i="4"/>
  <c r="M16" i="4"/>
  <c r="L7" i="4"/>
  <c r="M7" i="4" s="1"/>
  <c r="L9" i="4"/>
  <c r="M9" i="4" s="1"/>
  <c r="L11" i="4"/>
  <c r="M11" i="4" s="1"/>
  <c r="L14" i="4"/>
  <c r="M14" i="4" s="1"/>
  <c r="K15" i="4"/>
  <c r="N15" i="4" s="1"/>
  <c r="L17" i="4"/>
  <c r="M17" i="4" s="1"/>
  <c r="K18" i="4"/>
  <c r="N18" i="4" s="1"/>
  <c r="D42" i="4"/>
  <c r="F42" i="4" s="1"/>
  <c r="D43" i="4"/>
  <c r="F43" i="4" s="1"/>
  <c r="D45" i="4"/>
  <c r="F45" i="4" s="1"/>
  <c r="D49" i="4"/>
  <c r="F49" i="4" s="1"/>
  <c r="D52" i="4"/>
  <c r="F52" i="4" s="1"/>
  <c r="I24" i="4"/>
  <c r="I26" i="4"/>
  <c r="I28" i="4"/>
  <c r="I30" i="4"/>
  <c r="I32" i="4"/>
  <c r="I34" i="4"/>
  <c r="D52" i="5" l="1"/>
  <c r="F52" i="5" s="1"/>
  <c r="D49" i="5"/>
  <c r="F49" i="5" s="1"/>
  <c r="D45" i="5"/>
  <c r="F45" i="5" s="1"/>
  <c r="D48" i="5"/>
  <c r="F48" i="5" s="1"/>
  <c r="D44" i="5"/>
  <c r="D50" i="5"/>
  <c r="F50" i="5" s="1"/>
  <c r="D42" i="5"/>
  <c r="M18" i="5"/>
  <c r="M16" i="5"/>
  <c r="N17" i="5"/>
  <c r="N13" i="5"/>
  <c r="F46" i="5"/>
  <c r="F44" i="5"/>
  <c r="N9" i="5"/>
  <c r="N15" i="5"/>
  <c r="F42" i="5"/>
  <c r="N7" i="5"/>
  <c r="M13" i="5"/>
  <c r="M9" i="5"/>
  <c r="N18" i="5"/>
  <c r="F53" i="5"/>
  <c r="N16" i="5"/>
  <c r="F51" i="5"/>
  <c r="M17" i="5"/>
  <c r="N14" i="5"/>
  <c r="F47" i="5"/>
  <c r="N10" i="5"/>
  <c r="M15" i="5"/>
  <c r="M14" i="5"/>
  <c r="M10" i="5"/>
  <c r="M7" i="5"/>
  <c r="M18" i="4"/>
  <c r="M15" i="4"/>
  <c r="D53" i="4"/>
  <c r="F53" i="4" s="1"/>
  <c r="D50" i="4"/>
  <c r="F50" i="4" s="1"/>
  <c r="D48" i="4"/>
  <c r="F48" i="4" s="1"/>
  <c r="D51" i="4"/>
  <c r="F51" i="4" s="1"/>
  <c r="D47" i="4"/>
  <c r="F47" i="4" s="1"/>
  <c r="D44" i="4"/>
  <c r="F44" i="4" s="1"/>
  <c r="D46" i="4"/>
  <c r="F46" i="4" s="1"/>
</calcChain>
</file>

<file path=xl/comments1.xml><?xml version="1.0" encoding="utf-8"?>
<comments xmlns="http://schemas.openxmlformats.org/spreadsheetml/2006/main">
  <authors>
    <author>O'Day, Buckley E Lt Col USAF AETC AFIT/ENP</author>
  </authors>
  <commentList>
    <comment ref="G2" authorId="0" shapeId="0">
      <text>
        <r>
          <rPr>
            <b/>
            <sz val="9"/>
            <color indexed="81"/>
            <rFont val="Tahoma"/>
            <family val="2"/>
          </rPr>
          <t>O'Day, Buckley E Lt Col USAF AETC AFIT/ENP:</t>
        </r>
        <r>
          <rPr>
            <sz val="9"/>
            <color indexed="81"/>
            <rFont val="Tahoma"/>
            <family val="2"/>
          </rPr>
          <t xml:space="preserve">
Calculated using error propagation from the gross counts and the continuum</t>
        </r>
      </text>
    </comment>
    <comment ref="B4" authorId="0" shapeId="0">
      <text>
        <r>
          <rPr>
            <b/>
            <sz val="9"/>
            <color indexed="81"/>
            <rFont val="Tahoma"/>
            <charset val="1"/>
          </rPr>
          <t>O'Day, Buckley E Lt Col USAF AETC AFIT/ENP:</t>
        </r>
        <r>
          <rPr>
            <sz val="9"/>
            <color indexed="81"/>
            <rFont val="Tahoma"/>
            <charset val="1"/>
          </rPr>
          <t xml:space="preserve">
Data are taken from the individual sheets.</t>
        </r>
      </text>
    </comment>
    <comment ref="G17" authorId="0" shapeId="0">
      <text>
        <r>
          <rPr>
            <b/>
            <sz val="9"/>
            <color indexed="81"/>
            <rFont val="Tahoma"/>
            <family val="2"/>
          </rPr>
          <t>O'Day, Buckley E Lt Col USAF AETC AFIT/ENP:</t>
        </r>
        <r>
          <rPr>
            <sz val="9"/>
            <color indexed="81"/>
            <rFont val="Tahoma"/>
            <family val="2"/>
          </rPr>
          <t xml:space="preserve">
Calculated from the uncertainty in the source activity</t>
        </r>
      </text>
    </comment>
    <comment ref="G32" authorId="0" shapeId="0">
      <text>
        <r>
          <rPr>
            <b/>
            <sz val="9"/>
            <color indexed="81"/>
            <rFont val="Tahoma"/>
            <family val="2"/>
          </rPr>
          <t>O'Day, Buckley E Lt Col USAF AETC AFIT/ENP:</t>
        </r>
        <r>
          <rPr>
            <sz val="9"/>
            <color indexed="81"/>
            <rFont val="Tahoma"/>
            <family val="2"/>
          </rPr>
          <t xml:space="preserve">
Error propagation accounting for the uncertainty in the source and in our counts</t>
        </r>
      </text>
    </comment>
    <comment ref="L32" authorId="0" shapeId="0">
      <text>
        <r>
          <rPr>
            <b/>
            <sz val="9"/>
            <color indexed="81"/>
            <rFont val="Tahoma"/>
            <family val="2"/>
          </rPr>
          <t>O'Day, Buckley E Lt Col USAF AETC AFIT/ENP:</t>
        </r>
        <r>
          <rPr>
            <sz val="9"/>
            <color indexed="81"/>
            <rFont val="Tahoma"/>
            <family val="2"/>
          </rPr>
          <t xml:space="preserve">
Basically our uncertainty is driven by our uncertainty in the source activity</t>
        </r>
      </text>
    </comment>
  </commentList>
</comments>
</file>

<file path=xl/comments2.xml><?xml version="1.0" encoding="utf-8"?>
<comments xmlns="http://schemas.openxmlformats.org/spreadsheetml/2006/main">
  <authors>
    <author>O'Day, Buckley E Lt Col USAF AETC AFIT/ENP</author>
  </authors>
  <commentList>
    <comment ref="A1" authorId="0" shapeId="0">
      <text>
        <r>
          <rPr>
            <b/>
            <sz val="9"/>
            <color indexed="81"/>
            <rFont val="Tahoma"/>
            <family val="2"/>
          </rPr>
          <t>O'Day, Buckley E Lt Col USAF AETC AFIT/ENP:
This is just some "stuff" I worked up because I was curious.  Nothing important or rigorous here.</t>
        </r>
      </text>
    </comment>
  </commentList>
</comments>
</file>

<file path=xl/sharedStrings.xml><?xml version="1.0" encoding="utf-8"?>
<sst xmlns="http://schemas.openxmlformats.org/spreadsheetml/2006/main" count="498" uniqueCount="125">
  <si>
    <t>Energy
[keV]</t>
  </si>
  <si>
    <t>p1*x</t>
  </si>
  <si>
    <t>p2</t>
  </si>
  <si>
    <t>Lower x
x1</t>
  </si>
  <si>
    <t>Upper x
x1 #2</t>
  </si>
  <si>
    <t>Lower y
y1</t>
  </si>
  <si>
    <t>Upper y
y1#2</t>
  </si>
  <si>
    <t>linspace
#</t>
  </si>
  <si>
    <t>Oday</t>
  </si>
  <si>
    <t>Activity
(gamma/s)</t>
  </si>
  <si>
    <t>Expected
Counts</t>
  </si>
  <si>
    <t>Y-88</t>
  </si>
  <si>
    <t>Co-60</t>
  </si>
  <si>
    <t>Cs-137</t>
  </si>
  <si>
    <t>Sr-85</t>
  </si>
  <si>
    <t>Sn-113</t>
  </si>
  <si>
    <t>Cr-51</t>
  </si>
  <si>
    <t>Te-123m</t>
  </si>
  <si>
    <t>Co-57</t>
  </si>
  <si>
    <t>Cd-109</t>
  </si>
  <si>
    <t>Am-241</t>
  </si>
  <si>
    <t>Nuclide</t>
  </si>
  <si>
    <t>Start Date:</t>
  </si>
  <si>
    <t>Test:</t>
  </si>
  <si>
    <t>Decay
Const
(1/days)</t>
  </si>
  <si>
    <t>Total
Uncertainty
%</t>
  </si>
  <si>
    <t>Gamma/s
Uncertainty
+/-</t>
  </si>
  <si>
    <t>Gamma/s</t>
  </si>
  <si>
    <t>Branch
Ratio
%</t>
  </si>
  <si>
    <t>Activity
(mic-Ci)</t>
  </si>
  <si>
    <t>Half-Life
Uncertainty</t>
  </si>
  <si>
    <t>Half-life
(years)</t>
  </si>
  <si>
    <t>Half-life
(days)</t>
  </si>
  <si>
    <t>Gamma
Energy
(keV)</t>
  </si>
  <si>
    <t>T175</t>
  </si>
  <si>
    <t>ODAY_20170425_1715   Conducted on 20170425_T175_CAL_7cm_center.TKA which is the case of the MNC source 7cm directly above the center of the detector.</t>
  </si>
  <si>
    <t>Calibration File (20170404_T175_CAL.TKA)</t>
  </si>
  <si>
    <t>days</t>
  </si>
  <si>
    <t>seconds</t>
  </si>
  <si>
    <t>Live time:</t>
  </si>
  <si>
    <t>Age:</t>
  </si>
  <si>
    <t>FEP
Counts</t>
  </si>
  <si>
    <t>Photon
Energy</t>
  </si>
  <si>
    <t>Arbitrary
Efficiency</t>
  </si>
  <si>
    <t>Observed
Count
Rate</t>
  </si>
  <si>
    <t>Net
Counts</t>
  </si>
  <si>
    <t>Net
Counts
Error</t>
  </si>
  <si>
    <t>% Error</t>
  </si>
  <si>
    <t>Continuum
Counts</t>
  </si>
  <si>
    <t>Gross
Counts</t>
  </si>
  <si>
    <t>Calibration File (20170426_T175_CAL_3__11.TKA)</t>
  </si>
  <si>
    <t>ODAY_20170426_1330   Conducted on 20170426_T175_CAL_3__11.TKA which is the case of the bottom of MNC source 11 cm below the top of the shield and  the center of the source is 3cm from the inner edge of the shielding.</t>
  </si>
  <si>
    <t>ODAY_20170427_xxxx   Conducted on 20170427_T175__Flush.TKA which is the source on top of the detector flush with the side of the detector</t>
  </si>
  <si>
    <t>27.9 cm</t>
  </si>
  <si>
    <t>Detector well depth</t>
  </si>
  <si>
    <t>40.6 cm</t>
  </si>
  <si>
    <t>Depth to detector</t>
  </si>
  <si>
    <t>Detector well diameter</t>
  </si>
  <si>
    <t>Detector center from wall</t>
  </si>
  <si>
    <t>13.95 cm</t>
  </si>
  <si>
    <t>27 cm</t>
  </si>
  <si>
    <t>Position of 3-11 run</t>
  </si>
  <si>
    <t>10.95 cm</t>
  </si>
  <si>
    <t>from detector center</t>
  </si>
  <si>
    <t>16 cm</t>
  </si>
  <si>
    <t>Position of 33 run</t>
  </si>
  <si>
    <t>13.45 cm</t>
  </si>
  <si>
    <t>6cm</t>
  </si>
  <si>
    <t>0cm centered</t>
  </si>
  <si>
    <t>0cm Flush</t>
  </si>
  <si>
    <t>7cm centered</t>
  </si>
  <si>
    <t>16cm up 10.95 cm over</t>
  </si>
  <si>
    <t>6cm down 13.45cm over</t>
  </si>
  <si>
    <t>Source #</t>
  </si>
  <si>
    <t>Det #</t>
  </si>
  <si>
    <t>Efficiency</t>
  </si>
  <si>
    <t>Energy</t>
  </si>
  <si>
    <t>0cm</t>
  </si>
  <si>
    <t>7cm center</t>
  </si>
  <si>
    <t>Rough Geometric Corrections</t>
  </si>
  <si>
    <t>peak
channel</t>
  </si>
  <si>
    <t>f(x)=p1*x + p2</t>
  </si>
  <si>
    <t>p1 =</t>
  </si>
  <si>
    <t xml:space="preserve">p2 = </t>
  </si>
  <si>
    <t>(0.237,0.2384)</t>
  </si>
  <si>
    <t>(-1.246,5.051)</t>
  </si>
  <si>
    <t>Conducted on20170428_T175_Down_33.TKA for which the source is flush with the side of the shielding and 33 cm below the top of the shielding (6cm below the detector face)</t>
  </si>
  <si>
    <t>406 mm</t>
  </si>
  <si>
    <t>270 mm</t>
  </si>
  <si>
    <t>from top of well to top of detector casing</t>
  </si>
  <si>
    <t>from top of well to bottom of the well</t>
  </si>
  <si>
    <t>Height of detector</t>
  </si>
  <si>
    <t>13.6 cm</t>
  </si>
  <si>
    <t>136 mm</t>
  </si>
  <si>
    <t>from top of detector casing to bottom of the well</t>
  </si>
  <si>
    <t>6cm below the detector face or 7.6 cm from the bottom of the well</t>
  </si>
  <si>
    <t>16 cm above detector face or 11cm below the top of the well depth</t>
  </si>
  <si>
    <t>from detector center (source placed such that the edge just touches the side of the well)</t>
  </si>
  <si>
    <t>279 mm</t>
  </si>
  <si>
    <t>diameter as measured at the top of the well</t>
  </si>
  <si>
    <t>7 cm centered:</t>
  </si>
  <si>
    <t>0 cm flush to the side:</t>
  </si>
  <si>
    <t>Source placed centered, directly on top of the detector housing.</t>
  </si>
  <si>
    <t>Source placed centered, with the bottom of the source 7cm directly above the center of the detector</t>
  </si>
  <si>
    <t>Source placed directly on top of the detecotr housing, with the edge of the source planchetted flush against the edge of the detector</t>
  </si>
  <si>
    <t>Source placed with the bottom of the source 16 cm above the top of the detector housing and the center of the source 10.95 offset from the center of the detector</t>
  </si>
  <si>
    <t>Source placed with the bottom of the source 6 cm below the top of the detector housing (7.6 above the bottom of the well) with the planchette just touching the side of the well</t>
  </si>
  <si>
    <t>This shows the gamma lines and peak channels I used to perform the energy calibration on the background spectrum.</t>
  </si>
  <si>
    <t>Offset Above</t>
  </si>
  <si>
    <t>Offset Below</t>
  </si>
  <si>
    <t>Offset above (3-11 run):</t>
  </si>
  <si>
    <t>Offset below (33 run):</t>
  </si>
  <si>
    <t>Calibration Run:</t>
  </si>
  <si>
    <t>Conducted on 20170501_T175__CAL.TKA which is the case of the MNC source directly above the center of the detector.</t>
  </si>
  <si>
    <t>Calibration File (20170501_T175__CAL.TKA)</t>
  </si>
  <si>
    <t>O-above</t>
  </si>
  <si>
    <t>O-below</t>
  </si>
  <si>
    <t>7cm C</t>
  </si>
  <si>
    <t>0cm F</t>
  </si>
  <si>
    <t>0cm C</t>
  </si>
  <si>
    <t>keV</t>
  </si>
  <si>
    <t>Error</t>
  </si>
  <si>
    <t>Total Efficieny</t>
  </si>
  <si>
    <t>Expected Counts</t>
  </si>
  <si>
    <t>Net 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</si>
</sst>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E+00"/>
    <numFmt numFmtId="165" formatCode="0.000E+00"/>
    <numFmt numFmtId="166" formatCode="0.0"/>
    <numFmt numFmtId="167" formatCode="0.0000"/>
    <numFmt numFmtId="168" formatCode="0.00000E+00"/>
  </numFmts>
  <fonts count="8"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1">
    <xf numFmtId="0" fontId="0" fillId="0" borderId="0"/>
  </cellStyleXfs>
  <cellXfs count="64">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xf numFmtId="0" fontId="0" fillId="0" borderId="1" xfId="0" applyBorder="1"/>
    <xf numFmtId="0" fontId="0" fillId="2" borderId="1" xfId="0" applyFill="1" applyBorder="1"/>
    <xf numFmtId="164" fontId="0" fillId="0" borderId="1" xfId="0" applyNumberFormat="1" applyBorder="1"/>
    <xf numFmtId="0" fontId="0" fillId="0" borderId="0" xfId="0" applyAlignment="1">
      <alignment wrapText="1"/>
    </xf>
    <xf numFmtId="0" fontId="0" fillId="0" borderId="0" xfId="0" applyFill="1"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applyAlignment="1">
      <alignment wrapText="1"/>
    </xf>
    <xf numFmtId="0" fontId="0" fillId="0" borderId="5" xfId="0" applyBorder="1"/>
    <xf numFmtId="0" fontId="0" fillId="0" borderId="6" xfId="0" applyBorder="1"/>
    <xf numFmtId="0" fontId="0" fillId="0" borderId="7" xfId="0" applyBorder="1"/>
    <xf numFmtId="0" fontId="0" fillId="2" borderId="8" xfId="0" applyFill="1" applyBorder="1"/>
    <xf numFmtId="0" fontId="0" fillId="0" borderId="8" xfId="0" applyBorder="1"/>
    <xf numFmtId="0" fontId="0" fillId="3" borderId="8" xfId="0" applyFill="1" applyBorder="1"/>
    <xf numFmtId="164" fontId="0" fillId="0" borderId="8" xfId="0" applyNumberFormat="1" applyBorder="1"/>
    <xf numFmtId="0" fontId="0" fillId="0" borderId="9" xfId="0" applyBorder="1"/>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0" xfId="0" applyFill="1" applyBorder="1" applyAlignment="1">
      <alignment horizontal="center"/>
    </xf>
    <xf numFmtId="0" fontId="2" fillId="0" borderId="0" xfId="0" applyFont="1" applyFill="1" applyBorder="1" applyAlignment="1">
      <alignment horizontal="center"/>
    </xf>
    <xf numFmtId="0" fontId="3" fillId="0" borderId="0" xfId="0" applyFont="1" applyFill="1" applyBorder="1" applyAlignment="1">
      <alignment horizontal="center"/>
    </xf>
    <xf numFmtId="15" fontId="0" fillId="0" borderId="1" xfId="0" applyNumberFormat="1" applyBorder="1" applyAlignment="1">
      <alignment wrapText="1"/>
    </xf>
    <xf numFmtId="0" fontId="1" fillId="0" borderId="1" xfId="0" applyFont="1" applyBorder="1" applyAlignment="1">
      <alignment wrapText="1"/>
    </xf>
    <xf numFmtId="165" fontId="0" fillId="0" borderId="1" xfId="0" applyNumberFormat="1" applyBorder="1"/>
    <xf numFmtId="0" fontId="1" fillId="0" borderId="6" xfId="0" applyFont="1" applyBorder="1" applyAlignment="1">
      <alignment wrapText="1"/>
    </xf>
    <xf numFmtId="0" fontId="0" fillId="4" borderId="0" xfId="0" applyFill="1"/>
    <xf numFmtId="15" fontId="0" fillId="4" borderId="0" xfId="0" applyNumberFormat="1" applyFill="1"/>
    <xf numFmtId="0" fontId="0" fillId="4" borderId="1" xfId="0" applyFill="1" applyBorder="1" applyAlignment="1">
      <alignment horizontal="center"/>
    </xf>
    <xf numFmtId="0" fontId="0" fillId="4" borderId="1" xfId="0" applyFill="1" applyBorder="1" applyAlignment="1">
      <alignment horizontal="center" wrapText="1"/>
    </xf>
    <xf numFmtId="166" fontId="0" fillId="4" borderId="1" xfId="0" applyNumberFormat="1" applyFill="1" applyBorder="1" applyAlignment="1">
      <alignment horizontal="center"/>
    </xf>
    <xf numFmtId="1" fontId="0" fillId="4" borderId="1" xfId="0" applyNumberFormat="1" applyFill="1" applyBorder="1" applyAlignment="1">
      <alignment horizontal="center"/>
    </xf>
    <xf numFmtId="0" fontId="0" fillId="0" borderId="0" xfId="0" applyAlignment="1">
      <alignment wrapText="1"/>
    </xf>
    <xf numFmtId="167" fontId="0" fillId="0" borderId="0" xfId="0" applyNumberFormat="1"/>
    <xf numFmtId="0" fontId="0" fillId="0" borderId="0" xfId="0" applyAlignment="1">
      <alignment wrapText="1"/>
    </xf>
    <xf numFmtId="168" fontId="0" fillId="0" borderId="1" xfId="0" applyNumberFormat="1" applyBorder="1"/>
    <xf numFmtId="167" fontId="0" fillId="0" borderId="1" xfId="0" applyNumberFormat="1" applyBorder="1"/>
    <xf numFmtId="0" fontId="0" fillId="0" borderId="1" xfId="0" applyFill="1" applyBorder="1" applyAlignment="1">
      <alignment horizontal="center"/>
    </xf>
    <xf numFmtId="0" fontId="0" fillId="5" borderId="1" xfId="0" applyFill="1" applyBorder="1" applyAlignment="1">
      <alignment wrapText="1"/>
    </xf>
    <xf numFmtId="0" fontId="0" fillId="5" borderId="1" xfId="0" applyFill="1" applyBorder="1"/>
    <xf numFmtId="164" fontId="0" fillId="5" borderId="1" xfId="0" applyNumberFormat="1" applyFill="1" applyBorder="1"/>
    <xf numFmtId="164" fontId="0" fillId="5" borderId="8" xfId="0" applyNumberFormat="1" applyFill="1" applyBorder="1"/>
    <xf numFmtId="0" fontId="0" fillId="5" borderId="8" xfId="0" applyFill="1" applyBorder="1"/>
    <xf numFmtId="0" fontId="0" fillId="5" borderId="0" xfId="0" applyFill="1"/>
    <xf numFmtId="0" fontId="0" fillId="0" borderId="0" xfId="0" applyBorder="1" applyAlignment="1">
      <alignment wrapText="1"/>
    </xf>
    <xf numFmtId="0" fontId="0" fillId="0" borderId="0" xfId="0" applyBorder="1"/>
    <xf numFmtId="167" fontId="0" fillId="0" borderId="0" xfId="0" applyNumberFormat="1" applyBorder="1"/>
    <xf numFmtId="0" fontId="0" fillId="0" borderId="10" xfId="0" applyBorder="1"/>
    <xf numFmtId="167" fontId="0" fillId="0" borderId="10" xfId="0" applyNumberFormat="1" applyBorder="1"/>
    <xf numFmtId="0" fontId="0" fillId="0" borderId="0" xfId="0" applyAlignment="1">
      <alignment wrapText="1"/>
    </xf>
    <xf numFmtId="15" fontId="0" fillId="0" borderId="0" xfId="0" applyNumberFormat="1"/>
    <xf numFmtId="0" fontId="0" fillId="5" borderId="0" xfId="0" applyFill="1" applyAlignment="1">
      <alignment wrapText="1"/>
    </xf>
    <xf numFmtId="15" fontId="0" fillId="0" borderId="0" xfId="0" applyNumberFormat="1" applyAlignment="1"/>
    <xf numFmtId="0" fontId="0" fillId="0" borderId="0" xfId="0" applyAlignment="1"/>
    <xf numFmtId="1" fontId="0" fillId="0" borderId="0" xfId="0" applyNumberFormat="1" applyAlignment="1"/>
    <xf numFmtId="0" fontId="0" fillId="0" borderId="1" xfId="0" applyBorder="1" applyAlignment="1"/>
    <xf numFmtId="0" fontId="0" fillId="0" borderId="0" xfId="0" applyAlignment="1">
      <alignment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'0cm centered'!$F$41</c:f>
              <c:strCache>
                <c:ptCount val="1"/>
                <c:pt idx="0">
                  <c:v>Arbitrary
Efficiency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'0cm centered'!$E$42:$E$53</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'0cm centered'!$F$42:$F$53</c:f>
              <c:numCache>
                <c:formatCode>0.000E+00</c:formatCode>
                <c:ptCount val="12"/>
                <c:pt idx="0">
                  <c:v>3.4973873814471375E-2</c:v>
                </c:pt>
                <c:pt idx="1">
                  <c:v>0.14181334040202501</c:v>
                </c:pt>
                <c:pt idx="2">
                  <c:v>0.18072446893742083</c:v>
                </c:pt>
                <c:pt idx="3">
                  <c:v>0.18209934485654122</c:v>
                </c:pt>
                <c:pt idx="4">
                  <c:v>0.11546049176572622</c:v>
                </c:pt>
                <c:pt idx="5">
                  <c:v>0.12544469784617773</c:v>
                </c:pt>
                <c:pt idx="6">
                  <c:v>0.10757917527639035</c:v>
                </c:pt>
                <c:pt idx="7">
                  <c:v>9.2134525118517011E-2</c:v>
                </c:pt>
                <c:pt idx="8">
                  <c:v>6.044063523817951E-2</c:v>
                </c:pt>
                <c:pt idx="9">
                  <c:v>5.0254236140842581E-2</c:v>
                </c:pt>
                <c:pt idx="10">
                  <c:v>4.721013408479463E-2</c:v>
                </c:pt>
                <c:pt idx="11">
                  <c:v>3.7228569013696131E-2</c:v>
                </c:pt>
              </c:numCache>
            </c:numRef>
          </c:yVal>
          <c:smooth val="1"/>
        </c:ser>
        <c:dLbls>
          <c:showLegendKey val="0"/>
          <c:showVal val="0"/>
          <c:showCatName val="0"/>
          <c:showSerName val="0"/>
          <c:showPercent val="0"/>
          <c:showBubbleSize val="0"/>
        </c:dLbls>
        <c:axId val="415059984"/>
        <c:axId val="415053712"/>
      </c:scatterChart>
      <c:valAx>
        <c:axId val="41505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53712"/>
        <c:crosses val="autoZero"/>
        <c:crossBetween val="midCat"/>
      </c:valAx>
      <c:valAx>
        <c:axId val="415053712"/>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59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'0cm flush to side'!$F$41</c:f>
              <c:strCache>
                <c:ptCount val="1"/>
                <c:pt idx="0">
                  <c:v>Arbitrary
Efficiency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'0cm flush to side'!$E$42:$E$53</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'0cm flush to side'!$F$42:$F$53</c:f>
              <c:numCache>
                <c:formatCode>0.000E+00</c:formatCode>
                <c:ptCount val="12"/>
                <c:pt idx="0">
                  <c:v>2.2158306728221069E-2</c:v>
                </c:pt>
                <c:pt idx="1">
                  <c:v>8.5295806678093083E-2</c:v>
                </c:pt>
                <c:pt idx="2">
                  <c:v>0.10242489154780539</c:v>
                </c:pt>
                <c:pt idx="3">
                  <c:v>0.10303930363703043</c:v>
                </c:pt>
                <c:pt idx="4">
                  <c:v>5.7290843799605265E-2</c:v>
                </c:pt>
                <c:pt idx="5">
                  <c:v>7.0068687332870153E-2</c:v>
                </c:pt>
                <c:pt idx="6">
                  <c:v>6.1625824896037532E-2</c:v>
                </c:pt>
                <c:pt idx="7">
                  <c:v>5.291483404410964E-2</c:v>
                </c:pt>
                <c:pt idx="8">
                  <c:v>3.8597979710534983E-2</c:v>
                </c:pt>
                <c:pt idx="9">
                  <c:v>3.3171945152273903E-2</c:v>
                </c:pt>
                <c:pt idx="10">
                  <c:v>3.1291663862176876E-2</c:v>
                </c:pt>
                <c:pt idx="11">
                  <c:v>2.5288930914156814E-2</c:v>
                </c:pt>
              </c:numCache>
            </c:numRef>
          </c:yVal>
          <c:smooth val="1"/>
        </c:ser>
        <c:dLbls>
          <c:showLegendKey val="0"/>
          <c:showVal val="0"/>
          <c:showCatName val="0"/>
          <c:showSerName val="0"/>
          <c:showPercent val="0"/>
          <c:showBubbleSize val="0"/>
        </c:dLbls>
        <c:axId val="415056064"/>
        <c:axId val="415056456"/>
      </c:scatterChart>
      <c:valAx>
        <c:axId val="415056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56456"/>
        <c:crosses val="autoZero"/>
        <c:crossBetween val="midCat"/>
      </c:valAx>
      <c:valAx>
        <c:axId val="41505645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56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'7cm centered'!$F$41</c:f>
              <c:strCache>
                <c:ptCount val="1"/>
                <c:pt idx="0">
                  <c:v>Arbitrary
Efficiency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'7cm centered'!$E$42:$E$53</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'7cm centered'!$F$42:$F$53</c:f>
              <c:numCache>
                <c:formatCode>0.000E+00</c:formatCode>
                <c:ptCount val="12"/>
                <c:pt idx="0">
                  <c:v>8.9688412669019137E-3</c:v>
                </c:pt>
                <c:pt idx="1">
                  <c:v>2.5857866917164841E-2</c:v>
                </c:pt>
                <c:pt idx="2">
                  <c:v>2.6465028604264168E-2</c:v>
                </c:pt>
                <c:pt idx="3">
                  <c:v>2.6777390323230243E-2</c:v>
                </c:pt>
                <c:pt idx="4">
                  <c:v>1.7247496892901573E-2</c:v>
                </c:pt>
                <c:pt idx="5">
                  <c:v>1.734107435998598E-2</c:v>
                </c:pt>
                <c:pt idx="6">
                  <c:v>1.5454009811545917E-2</c:v>
                </c:pt>
                <c:pt idx="7">
                  <c:v>1.2575053744435806E-2</c:v>
                </c:pt>
                <c:pt idx="8">
                  <c:v>1.0502274630437512E-2</c:v>
                </c:pt>
                <c:pt idx="9">
                  <c:v>8.939492537528541E-3</c:v>
                </c:pt>
                <c:pt idx="10">
                  <c:v>8.406904835005927E-3</c:v>
                </c:pt>
                <c:pt idx="11">
                  <c:v>6.7353691315421987E-3</c:v>
                </c:pt>
              </c:numCache>
            </c:numRef>
          </c:yVal>
          <c:smooth val="1"/>
        </c:ser>
        <c:dLbls>
          <c:showLegendKey val="0"/>
          <c:showVal val="0"/>
          <c:showCatName val="0"/>
          <c:showSerName val="0"/>
          <c:showPercent val="0"/>
          <c:showBubbleSize val="0"/>
        </c:dLbls>
        <c:axId val="415055672"/>
        <c:axId val="415057240"/>
      </c:scatterChart>
      <c:valAx>
        <c:axId val="415055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57240"/>
        <c:crosses val="autoZero"/>
        <c:crossBetween val="midCat"/>
      </c:valAx>
      <c:valAx>
        <c:axId val="415057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55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'Offset Below'!$F$41</c:f>
              <c:strCache>
                <c:ptCount val="1"/>
                <c:pt idx="0">
                  <c:v>Arbitrary
Efficiency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'Offset Below'!$E$42:$E$53</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'Offset Below'!$F$42:$F$53</c:f>
              <c:numCache>
                <c:formatCode>0.000E+00</c:formatCode>
                <c:ptCount val="12"/>
                <c:pt idx="0">
                  <c:v>3.6040670873605943E-3</c:v>
                </c:pt>
                <c:pt idx="1">
                  <c:v>1.4673886322544559E-2</c:v>
                </c:pt>
                <c:pt idx="2">
                  <c:v>1.8036023770044454E-2</c:v>
                </c:pt>
                <c:pt idx="3">
                  <c:v>1.7787810451661099E-2</c:v>
                </c:pt>
                <c:pt idx="4">
                  <c:v>1.7010931997590344E-2</c:v>
                </c:pt>
                <c:pt idx="5">
                  <c:v>1.3391883525291531E-2</c:v>
                </c:pt>
                <c:pt idx="6">
                  <c:v>1.3276525069948263E-2</c:v>
                </c:pt>
                <c:pt idx="7">
                  <c:v>1.0124614684189502E-2</c:v>
                </c:pt>
                <c:pt idx="8">
                  <c:v>8.4867807888913561E-3</c:v>
                </c:pt>
                <c:pt idx="9">
                  <c:v>7.3670211856812634E-3</c:v>
                </c:pt>
                <c:pt idx="10">
                  <c:v>7.0095586630055219E-3</c:v>
                </c:pt>
                <c:pt idx="11">
                  <c:v>5.620800369096444E-3</c:v>
                </c:pt>
              </c:numCache>
            </c:numRef>
          </c:yVal>
          <c:smooth val="1"/>
        </c:ser>
        <c:dLbls>
          <c:showLegendKey val="0"/>
          <c:showVal val="0"/>
          <c:showCatName val="0"/>
          <c:showSerName val="0"/>
          <c:showPercent val="0"/>
          <c:showBubbleSize val="0"/>
        </c:dLbls>
        <c:axId val="416916024"/>
        <c:axId val="416916808"/>
      </c:scatterChart>
      <c:valAx>
        <c:axId val="416916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16808"/>
        <c:crosses val="autoZero"/>
        <c:crossBetween val="midCat"/>
      </c:valAx>
      <c:valAx>
        <c:axId val="41691680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16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'Offset Above'!$F$41</c:f>
              <c:strCache>
                <c:ptCount val="1"/>
                <c:pt idx="0">
                  <c:v>Arbitrary
Efficiency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'Offset Above'!$E$42:$E$53</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'Offset Above'!$F$42:$F$53</c:f>
              <c:numCache>
                <c:formatCode>0.000E+00</c:formatCode>
                <c:ptCount val="12"/>
                <c:pt idx="0">
                  <c:v>1.2664001563513598E-3</c:v>
                </c:pt>
                <c:pt idx="1">
                  <c:v>4.1879192648729959E-3</c:v>
                </c:pt>
                <c:pt idx="2">
                  <c:v>5.2594440251785548E-3</c:v>
                </c:pt>
                <c:pt idx="3">
                  <c:v>5.6013371627382114E-3</c:v>
                </c:pt>
                <c:pt idx="4">
                  <c:v>5.1179310529126673E-3</c:v>
                </c:pt>
                <c:pt idx="5">
                  <c:v>3.9783286255760638E-3</c:v>
                </c:pt>
                <c:pt idx="6">
                  <c:v>4.1076221723705918E-3</c:v>
                </c:pt>
                <c:pt idx="7">
                  <c:v>2.989137267471435E-3</c:v>
                </c:pt>
                <c:pt idx="8">
                  <c:v>2.5901593034884621E-3</c:v>
                </c:pt>
                <c:pt idx="9">
                  <c:v>2.2413510052946214E-3</c:v>
                </c:pt>
                <c:pt idx="10">
                  <c:v>2.1331981597874864E-3</c:v>
                </c:pt>
                <c:pt idx="11">
                  <c:v>1.7193102930337474E-3</c:v>
                </c:pt>
              </c:numCache>
            </c:numRef>
          </c:yVal>
          <c:smooth val="1"/>
        </c:ser>
        <c:dLbls>
          <c:showLegendKey val="0"/>
          <c:showVal val="0"/>
          <c:showCatName val="0"/>
          <c:showSerName val="0"/>
          <c:showPercent val="0"/>
          <c:showBubbleSize val="0"/>
        </c:dLbls>
        <c:axId val="416915240"/>
        <c:axId val="416914848"/>
      </c:scatterChart>
      <c:valAx>
        <c:axId val="416915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14848"/>
        <c:crosses val="autoZero"/>
        <c:crossBetween val="midCat"/>
      </c:valAx>
      <c:valAx>
        <c:axId val="4169148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15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Estimated</a:t>
            </a:r>
            <a:r>
              <a:rPr lang="en-US" baseline="0"/>
              <a:t> Intrinsic</a:t>
            </a:r>
            <a:r>
              <a:rPr lang="en-US"/>
              <a:t> Efficiency [%]</a:t>
            </a:r>
          </a:p>
          <a:p>
            <a:pPr>
              <a:defRPr/>
            </a:pPr>
            <a:r>
              <a:rPr lang="en-US"/>
              <a:t>(with some geometric mental gymnastics for solid angles!)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Efficiency!$B$56</c:f>
              <c:strCache>
                <c:ptCount val="1"/>
                <c:pt idx="0">
                  <c:v>0cm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Efficiency!$A$57:$A$68</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Efficiency!$B$57:$B$68</c:f>
              <c:numCache>
                <c:formatCode>0.0000</c:formatCode>
                <c:ptCount val="12"/>
                <c:pt idx="0">
                  <c:v>7.0273003472668814</c:v>
                </c:pt>
                <c:pt idx="1">
                  <c:v>29.521307203889815</c:v>
                </c:pt>
                <c:pt idx="2">
                  <c:v>37.660698791102604</c:v>
                </c:pt>
                <c:pt idx="3">
                  <c:v>43.437957886703984</c:v>
                </c:pt>
                <c:pt idx="4">
                  <c:v>56.898098194461483</c:v>
                </c:pt>
                <c:pt idx="5">
                  <c:v>29.998396727730828</c:v>
                </c:pt>
                <c:pt idx="6">
                  <c:v>28.977310716786622</c:v>
                </c:pt>
                <c:pt idx="7">
                  <c:v>18.552756359587171</c:v>
                </c:pt>
                <c:pt idx="8">
                  <c:v>14.538147192899375</c:v>
                </c:pt>
                <c:pt idx="9">
                  <c:v>10.239622613377175</c:v>
                </c:pt>
                <c:pt idx="10">
                  <c:v>9.5552739456235738</c:v>
                </c:pt>
                <c:pt idx="11">
                  <c:v>8.9077222233232476</c:v>
                </c:pt>
              </c:numCache>
            </c:numRef>
          </c:yVal>
          <c:smooth val="1"/>
        </c:ser>
        <c:ser>
          <c:idx val="1"/>
          <c:order val="1"/>
          <c:tx>
            <c:strRef>
              <c:f>Efficiency!$C$56</c:f>
              <c:strCache>
                <c:ptCount val="1"/>
                <c:pt idx="0">
                  <c:v>0cm Flush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Efficiency!$A$57:$A$68</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Efficiency!$C$57:$C$68</c:f>
              <c:numCache>
                <c:formatCode>0.0000</c:formatCode>
                <c:ptCount val="12"/>
                <c:pt idx="0">
                  <c:v>9.032452014060544</c:v>
                </c:pt>
                <c:pt idx="1">
                  <c:v>34.337125498454029</c:v>
                </c:pt>
                <c:pt idx="2">
                  <c:v>40.605919049338382</c:v>
                </c:pt>
                <c:pt idx="3">
                  <c:v>40.903882306046278</c:v>
                </c:pt>
                <c:pt idx="4">
                  <c:v>29.188499324338274</c:v>
                </c:pt>
                <c:pt idx="5">
                  <c:v>28.005690792830052</c:v>
                </c:pt>
                <c:pt idx="6">
                  <c:v>24.481325392552687</c:v>
                </c:pt>
                <c:pt idx="7">
                  <c:v>21.179683533918677</c:v>
                </c:pt>
                <c:pt idx="8">
                  <c:v>15.490877366370617</c:v>
                </c:pt>
                <c:pt idx="9">
                  <c:v>13.288275921138595</c:v>
                </c:pt>
                <c:pt idx="10">
                  <c:v>12.50750340048179</c:v>
                </c:pt>
                <c:pt idx="11">
                  <c:v>9.9675840790711661</c:v>
                </c:pt>
              </c:numCache>
            </c:numRef>
          </c:yVal>
          <c:smooth val="1"/>
        </c:ser>
        <c:ser>
          <c:idx val="2"/>
          <c:order val="2"/>
          <c:tx>
            <c:strRef>
              <c:f>Efficiency!$D$56</c:f>
              <c:strCache>
                <c:ptCount val="1"/>
                <c:pt idx="0">
                  <c:v>7cm center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Efficiency!$A$57:$A$68</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Efficiency!$D$57:$D$68</c:f>
              <c:numCache>
                <c:formatCode>0.0000</c:formatCode>
                <c:ptCount val="12"/>
                <c:pt idx="0">
                  <c:v>10.563641904143148</c:v>
                </c:pt>
                <c:pt idx="1">
                  <c:v>30.395144460270107</c:v>
                </c:pt>
                <c:pt idx="2">
                  <c:v>30.848602592792183</c:v>
                </c:pt>
                <c:pt idx="3">
                  <c:v>30.557954977834971</c:v>
                </c:pt>
                <c:pt idx="4">
                  <c:v>25.562826893501136</c:v>
                </c:pt>
                <c:pt idx="5">
                  <c:v>19.667792292930791</c:v>
                </c:pt>
                <c:pt idx="6">
                  <c:v>17.817627608737119</c:v>
                </c:pt>
                <c:pt idx="7">
                  <c:v>14.414848956746042</c:v>
                </c:pt>
                <c:pt idx="8">
                  <c:v>11.893756749094146</c:v>
                </c:pt>
                <c:pt idx="9">
                  <c:v>10.129266647000236</c:v>
                </c:pt>
                <c:pt idx="10">
                  <c:v>9.5327935018230043</c:v>
                </c:pt>
                <c:pt idx="11">
                  <c:v>7.6241885711239208</c:v>
                </c:pt>
              </c:numCache>
            </c:numRef>
          </c:yVal>
          <c:smooth val="1"/>
        </c:ser>
        <c:ser>
          <c:idx val="3"/>
          <c:order val="3"/>
          <c:tx>
            <c:strRef>
              <c:f>Efficiency!$E$56</c:f>
              <c:strCache>
                <c:ptCount val="1"/>
                <c:pt idx="0">
                  <c:v>Offset Above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Efficiency!$A$57:$A$68</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Efficiency!$E$57:$E$68</c:f>
              <c:numCache>
                <c:formatCode>0.0000</c:formatCode>
                <c:ptCount val="12"/>
                <c:pt idx="0">
                  <c:v>3.334264097426209</c:v>
                </c:pt>
                <c:pt idx="1">
                  <c:v>11.27081679240767</c:v>
                </c:pt>
                <c:pt idx="2">
                  <c:v>13.172136219925251</c:v>
                </c:pt>
                <c:pt idx="3">
                  <c:v>14.687614768216694</c:v>
                </c:pt>
                <c:pt idx="4">
                  <c:v>14.841358868104555</c:v>
                </c:pt>
                <c:pt idx="5">
                  <c:v>10.155018632293306</c:v>
                </c:pt>
                <c:pt idx="6">
                  <c:v>11.004997908452429</c:v>
                </c:pt>
                <c:pt idx="7">
                  <c:v>7.8258390731341336</c:v>
                </c:pt>
                <c:pt idx="8">
                  <c:v>6.6721338761291378</c:v>
                </c:pt>
                <c:pt idx="9">
                  <c:v>5.818590037534439</c:v>
                </c:pt>
                <c:pt idx="10">
                  <c:v>5.4920668512325506</c:v>
                </c:pt>
                <c:pt idx="11">
                  <c:v>4.4475974413861108</c:v>
                </c:pt>
              </c:numCache>
            </c:numRef>
          </c:yVal>
          <c:smooth val="1"/>
        </c:ser>
        <c:ser>
          <c:idx val="4"/>
          <c:order val="4"/>
          <c:tx>
            <c:strRef>
              <c:f>Efficiency!$F$56</c:f>
              <c:strCache>
                <c:ptCount val="1"/>
                <c:pt idx="0">
                  <c:v>Offset Below</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Efficiency!$A$57:$A$68</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Efficiency!$F$57:$F$68</c:f>
              <c:numCache>
                <c:formatCode>0.0000</c:formatCode>
                <c:ptCount val="12"/>
                <c:pt idx="0">
                  <c:v>1.5922204746476345</c:v>
                </c:pt>
                <c:pt idx="1">
                  <c:v>5.3902315930077345</c:v>
                </c:pt>
                <c:pt idx="2">
                  <c:v>6.3061616081345351</c:v>
                </c:pt>
                <c:pt idx="3">
                  <c:v>7.0545195850659512</c:v>
                </c:pt>
                <c:pt idx="4">
                  <c:v>7.266748369146053</c:v>
                </c:pt>
                <c:pt idx="5">
                  <c:v>4.8786271638441026</c:v>
                </c:pt>
                <c:pt idx="6">
                  <c:v>5.3116968221137597</c:v>
                </c:pt>
                <c:pt idx="7">
                  <c:v>3.7373136691801596</c:v>
                </c:pt>
                <c:pt idx="8">
                  <c:v>3.2069277697061538</c:v>
                </c:pt>
                <c:pt idx="9">
                  <c:v>2.7795564376294979</c:v>
                </c:pt>
                <c:pt idx="10">
                  <c:v>2.623575414964892</c:v>
                </c:pt>
                <c:pt idx="11">
                  <c:v>2.1377154607590034</c:v>
                </c:pt>
              </c:numCache>
            </c:numRef>
          </c:yVal>
          <c:smooth val="1"/>
        </c:ser>
        <c:dLbls>
          <c:showLegendKey val="0"/>
          <c:showVal val="0"/>
          <c:showCatName val="0"/>
          <c:showSerName val="0"/>
          <c:showPercent val="0"/>
          <c:showBubbleSize val="0"/>
        </c:dLbls>
        <c:axId val="416910144"/>
        <c:axId val="416910536"/>
      </c:scatterChart>
      <c:valAx>
        <c:axId val="41691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10536"/>
        <c:crosses val="autoZero"/>
        <c:crossBetween val="midCat"/>
      </c:valAx>
      <c:valAx>
        <c:axId val="416910536"/>
        <c:scaling>
          <c:logBase val="10"/>
          <c:orientation val="minMax"/>
          <c:max val="7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1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FEP Efficiency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Efficiency!$B$17</c:f>
              <c:strCache>
                <c:ptCount val="1"/>
                <c:pt idx="0">
                  <c:v>0cm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Efficiency!$A$18:$A$29</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Efficiency!$B$18:$B$29</c:f>
              <c:numCache>
                <c:formatCode>0.0000</c:formatCode>
                <c:ptCount val="12"/>
                <c:pt idx="0">
                  <c:v>3.4973873814471372</c:v>
                </c:pt>
                <c:pt idx="1">
                  <c:v>14.181334040202502</c:v>
                </c:pt>
                <c:pt idx="2">
                  <c:v>18.072446893742082</c:v>
                </c:pt>
                <c:pt idx="3">
                  <c:v>18.209934485654124</c:v>
                </c:pt>
                <c:pt idx="4">
                  <c:v>11.546049176572621</c:v>
                </c:pt>
                <c:pt idx="5">
                  <c:v>12.544469784617773</c:v>
                </c:pt>
                <c:pt idx="6">
                  <c:v>10.757917527639036</c:v>
                </c:pt>
                <c:pt idx="7">
                  <c:v>9.2134525118517008</c:v>
                </c:pt>
                <c:pt idx="8">
                  <c:v>6.0440635238179512</c:v>
                </c:pt>
                <c:pt idx="9">
                  <c:v>5.0254236140842581</c:v>
                </c:pt>
                <c:pt idx="10">
                  <c:v>4.7210134084794628</c:v>
                </c:pt>
                <c:pt idx="11">
                  <c:v>3.7228569013696133</c:v>
                </c:pt>
              </c:numCache>
            </c:numRef>
          </c:yVal>
          <c:smooth val="1"/>
        </c:ser>
        <c:ser>
          <c:idx val="1"/>
          <c:order val="1"/>
          <c:tx>
            <c:strRef>
              <c:f>Efficiency!$C$17</c:f>
              <c:strCache>
                <c:ptCount val="1"/>
                <c:pt idx="0">
                  <c:v>0cm Flush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Efficiency!$A$18:$A$29</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Efficiency!$C$18:$C$29</c:f>
              <c:numCache>
                <c:formatCode>0.0000</c:formatCode>
                <c:ptCount val="12"/>
                <c:pt idx="0">
                  <c:v>2.2158306728221069</c:v>
                </c:pt>
                <c:pt idx="1">
                  <c:v>8.5295806678093093</c:v>
                </c:pt>
                <c:pt idx="2">
                  <c:v>10.242489154780539</c:v>
                </c:pt>
                <c:pt idx="3">
                  <c:v>10.303930363703042</c:v>
                </c:pt>
                <c:pt idx="4">
                  <c:v>5.7290843799605264</c:v>
                </c:pt>
                <c:pt idx="5">
                  <c:v>7.006868733287015</c:v>
                </c:pt>
                <c:pt idx="6">
                  <c:v>6.1625824896037527</c:v>
                </c:pt>
                <c:pt idx="7">
                  <c:v>5.2914834044109647</c:v>
                </c:pt>
                <c:pt idx="8">
                  <c:v>3.8597979710534984</c:v>
                </c:pt>
                <c:pt idx="9">
                  <c:v>3.3171945152273907</c:v>
                </c:pt>
                <c:pt idx="10">
                  <c:v>3.1291663862176877</c:v>
                </c:pt>
                <c:pt idx="11">
                  <c:v>2.5288930914156813</c:v>
                </c:pt>
              </c:numCache>
            </c:numRef>
          </c:yVal>
          <c:smooth val="1"/>
        </c:ser>
        <c:ser>
          <c:idx val="2"/>
          <c:order val="2"/>
          <c:tx>
            <c:strRef>
              <c:f>Efficiency!$D$17</c:f>
              <c:strCache>
                <c:ptCount val="1"/>
                <c:pt idx="0">
                  <c:v>7cm center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Efficiency!$A$18:$A$29</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Efficiency!$D$18:$D$29</c:f>
              <c:numCache>
                <c:formatCode>0.0000</c:formatCode>
                <c:ptCount val="12"/>
                <c:pt idx="0">
                  <c:v>0.89688412669019135</c:v>
                </c:pt>
                <c:pt idx="1">
                  <c:v>2.5857866917164842</c:v>
                </c:pt>
                <c:pt idx="2">
                  <c:v>2.6465028604264167</c:v>
                </c:pt>
                <c:pt idx="3">
                  <c:v>2.6777390323230237</c:v>
                </c:pt>
                <c:pt idx="4">
                  <c:v>1.7247496892901575</c:v>
                </c:pt>
                <c:pt idx="5">
                  <c:v>1.7341074359985982</c:v>
                </c:pt>
                <c:pt idx="6">
                  <c:v>1.5454009811545917</c:v>
                </c:pt>
                <c:pt idx="7">
                  <c:v>1.2575053744435807</c:v>
                </c:pt>
                <c:pt idx="8">
                  <c:v>1.0502274630437514</c:v>
                </c:pt>
                <c:pt idx="9">
                  <c:v>0.89394925375285406</c:v>
                </c:pt>
                <c:pt idx="10">
                  <c:v>0.84069048350059272</c:v>
                </c:pt>
                <c:pt idx="11">
                  <c:v>0.67353691315421982</c:v>
                </c:pt>
              </c:numCache>
            </c:numRef>
          </c:yVal>
          <c:smooth val="1"/>
        </c:ser>
        <c:ser>
          <c:idx val="3"/>
          <c:order val="3"/>
          <c:tx>
            <c:strRef>
              <c:f>Efficiency!$E$17</c:f>
              <c:strCache>
                <c:ptCount val="1"/>
                <c:pt idx="0">
                  <c:v>Offset Above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Efficiency!$A$18:$A$29</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Efficiency!$E$18:$E$29</c:f>
              <c:numCache>
                <c:formatCode>0.0000</c:formatCode>
                <c:ptCount val="12"/>
                <c:pt idx="0">
                  <c:v>0.12664001563513597</c:v>
                </c:pt>
                <c:pt idx="1">
                  <c:v>0.41879192648729957</c:v>
                </c:pt>
                <c:pt idx="2">
                  <c:v>0.52594440251785546</c:v>
                </c:pt>
                <c:pt idx="3">
                  <c:v>0.56013371627382114</c:v>
                </c:pt>
                <c:pt idx="4">
                  <c:v>0.51179310529126676</c:v>
                </c:pt>
                <c:pt idx="5">
                  <c:v>0.39783286255760641</c:v>
                </c:pt>
                <c:pt idx="6">
                  <c:v>0.41076221723705914</c:v>
                </c:pt>
                <c:pt idx="7">
                  <c:v>0.2989137267471435</c:v>
                </c:pt>
                <c:pt idx="8">
                  <c:v>0.25901593034884618</c:v>
                </c:pt>
                <c:pt idx="9">
                  <c:v>0.22413510052946214</c:v>
                </c:pt>
                <c:pt idx="10">
                  <c:v>0.21331981597874863</c:v>
                </c:pt>
                <c:pt idx="11">
                  <c:v>0.17193102930337475</c:v>
                </c:pt>
              </c:numCache>
            </c:numRef>
          </c:yVal>
          <c:smooth val="1"/>
        </c:ser>
        <c:ser>
          <c:idx val="4"/>
          <c:order val="4"/>
          <c:tx>
            <c:strRef>
              <c:f>Efficiency!$F$17</c:f>
              <c:strCache>
                <c:ptCount val="1"/>
                <c:pt idx="0">
                  <c:v>Offset Below</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Efficiency!$A$18:$A$29</c:f>
              <c:numCache>
                <c:formatCode>General</c:formatCode>
                <c:ptCount val="12"/>
                <c:pt idx="0">
                  <c:v>60</c:v>
                </c:pt>
                <c:pt idx="1">
                  <c:v>88</c:v>
                </c:pt>
                <c:pt idx="2">
                  <c:v>122</c:v>
                </c:pt>
                <c:pt idx="3">
                  <c:v>159</c:v>
                </c:pt>
                <c:pt idx="4">
                  <c:v>320</c:v>
                </c:pt>
                <c:pt idx="5">
                  <c:v>392</c:v>
                </c:pt>
                <c:pt idx="6">
                  <c:v>514</c:v>
                </c:pt>
                <c:pt idx="7">
                  <c:v>662</c:v>
                </c:pt>
                <c:pt idx="8">
                  <c:v>898</c:v>
                </c:pt>
                <c:pt idx="9">
                  <c:v>1173</c:v>
                </c:pt>
                <c:pt idx="10">
                  <c:v>1333</c:v>
                </c:pt>
                <c:pt idx="11">
                  <c:v>1836</c:v>
                </c:pt>
              </c:numCache>
            </c:numRef>
          </c:xVal>
          <c:yVal>
            <c:numRef>
              <c:f>Efficiency!$F$18:$F$29</c:f>
              <c:numCache>
                <c:formatCode>0.0000</c:formatCode>
                <c:ptCount val="12"/>
                <c:pt idx="0">
                  <c:v>0.3604067087360594</c:v>
                </c:pt>
                <c:pt idx="1">
                  <c:v>1.467388632254456</c:v>
                </c:pt>
                <c:pt idx="2">
                  <c:v>1.8036023770044454</c:v>
                </c:pt>
                <c:pt idx="3">
                  <c:v>1.7787810451661097</c:v>
                </c:pt>
                <c:pt idx="4">
                  <c:v>1.7010931997590342</c:v>
                </c:pt>
                <c:pt idx="5">
                  <c:v>1.3391883525291532</c:v>
                </c:pt>
                <c:pt idx="6">
                  <c:v>1.3276525069948264</c:v>
                </c:pt>
                <c:pt idx="7">
                  <c:v>1.0124614684189503</c:v>
                </c:pt>
                <c:pt idx="8">
                  <c:v>0.8486780788891356</c:v>
                </c:pt>
                <c:pt idx="9">
                  <c:v>0.7367021185681264</c:v>
                </c:pt>
                <c:pt idx="10">
                  <c:v>0.70095586630055229</c:v>
                </c:pt>
                <c:pt idx="11">
                  <c:v>0.56208003690964436</c:v>
                </c:pt>
              </c:numCache>
            </c:numRef>
          </c:yVal>
          <c:smooth val="1"/>
        </c:ser>
        <c:dLbls>
          <c:showLegendKey val="0"/>
          <c:showVal val="0"/>
          <c:showCatName val="0"/>
          <c:showSerName val="0"/>
          <c:showPercent val="0"/>
          <c:showBubbleSize val="0"/>
        </c:dLbls>
        <c:axId val="416910928"/>
        <c:axId val="416911320"/>
      </c:scatterChart>
      <c:valAx>
        <c:axId val="41691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11320"/>
        <c:crosses val="autoZero"/>
        <c:crossBetween val="midCat"/>
      </c:valAx>
      <c:valAx>
        <c:axId val="416911320"/>
        <c:scaling>
          <c:logBase val="10"/>
          <c:orientation val="minMax"/>
          <c:max val="2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10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11207</xdr:colOff>
      <xdr:row>34</xdr:row>
      <xdr:rowOff>33617</xdr:rowOff>
    </xdr:from>
    <xdr:to>
      <xdr:col>16</xdr:col>
      <xdr:colOff>493058</xdr:colOff>
      <xdr:row>52</xdr:row>
      <xdr:rowOff>82923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33619</xdr:colOff>
      <xdr:row>34</xdr:row>
      <xdr:rowOff>22413</xdr:rowOff>
    </xdr:from>
    <xdr:to>
      <xdr:col>16</xdr:col>
      <xdr:colOff>67236</xdr:colOff>
      <xdr:row>52</xdr:row>
      <xdr:rowOff>49307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11204</xdr:colOff>
      <xdr:row>34</xdr:row>
      <xdr:rowOff>33618</xdr:rowOff>
    </xdr:from>
    <xdr:to>
      <xdr:col>15</xdr:col>
      <xdr:colOff>549085</xdr:colOff>
      <xdr:row>51</xdr:row>
      <xdr:rowOff>150159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22413</xdr:colOff>
      <xdr:row>34</xdr:row>
      <xdr:rowOff>33619</xdr:rowOff>
    </xdr:from>
    <xdr:to>
      <xdr:col>16</xdr:col>
      <xdr:colOff>56030</xdr:colOff>
      <xdr:row>52</xdr:row>
      <xdr:rowOff>60513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xdr:colOff>
      <xdr:row>34</xdr:row>
      <xdr:rowOff>11205</xdr:rowOff>
    </xdr:from>
    <xdr:to>
      <xdr:col>16</xdr:col>
      <xdr:colOff>33618</xdr:colOff>
      <xdr:row>52</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328612</xdr:colOff>
      <xdr:row>54</xdr:row>
      <xdr:rowOff>114300</xdr:rowOff>
    </xdr:from>
    <xdr:to>
      <xdr:col>17</xdr:col>
      <xdr:colOff>428625</xdr:colOff>
      <xdr:row>86</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16</xdr:row>
      <xdr:rowOff>28575</xdr:rowOff>
    </xdr:from>
    <xdr:to>
      <xdr:col>15</xdr:col>
      <xdr:colOff>600075</xdr:colOff>
      <xdr:row>37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13" zoomScale="85" zoomScaleNormal="85" workbookViewId="0">
      <selection activeCell="O22" sqref="O22"/>
    </sheetView>
  </sheetViews>
  <sheetFormatPr defaultRowHeight="15" x14ac:dyDescent="0.25"/>
  <cols>
    <col min="3" max="3" width="12" customWidth="1"/>
    <col min="4" max="4" width="10.7109375" bestFit="1" customWidth="1"/>
    <col min="9" max="9" width="10.5703125" bestFit="1" customWidth="1"/>
    <col min="10" max="10" width="11.140625" customWidth="1"/>
    <col min="11" max="12" width="10.5703125" bestFit="1" customWidth="1"/>
  </cols>
  <sheetData>
    <row r="1" spans="1:17" x14ac:dyDescent="0.25">
      <c r="A1" s="57" t="s">
        <v>113</v>
      </c>
      <c r="B1" s="57"/>
      <c r="C1" s="57"/>
      <c r="D1" s="57"/>
      <c r="E1" s="57"/>
      <c r="F1" s="57"/>
      <c r="G1" s="57"/>
      <c r="H1" s="57"/>
      <c r="I1" s="57"/>
      <c r="J1" s="57"/>
      <c r="K1" s="57"/>
      <c r="L1" s="57"/>
      <c r="M1" s="57"/>
      <c r="N1" s="57"/>
    </row>
    <row r="2" spans="1:17" x14ac:dyDescent="0.25">
      <c r="A2" s="57"/>
      <c r="B2" s="57"/>
      <c r="C2" s="57"/>
      <c r="D2" s="57"/>
      <c r="E2" s="57"/>
      <c r="F2" s="57"/>
      <c r="G2" s="57"/>
      <c r="H2" s="57"/>
      <c r="I2" s="57"/>
      <c r="J2" s="57"/>
      <c r="K2" s="57"/>
      <c r="L2" s="57"/>
      <c r="M2" s="57"/>
      <c r="N2" s="57"/>
    </row>
    <row r="4" spans="1:17" ht="15.75" thickBot="1" x14ac:dyDescent="0.3"/>
    <row r="5" spans="1:17" x14ac:dyDescent="0.25">
      <c r="A5" s="9" t="s">
        <v>8</v>
      </c>
      <c r="B5" s="10"/>
      <c r="C5" s="10"/>
      <c r="D5" s="10"/>
      <c r="E5" s="10"/>
      <c r="F5" s="10"/>
      <c r="G5" s="10"/>
      <c r="H5" s="10"/>
      <c r="I5" s="10"/>
      <c r="J5" s="10"/>
      <c r="K5" s="10"/>
      <c r="L5" s="10"/>
      <c r="M5" s="10"/>
      <c r="N5" s="11"/>
    </row>
    <row r="6" spans="1:17" ht="45" x14ac:dyDescent="0.25">
      <c r="A6" s="12" t="s">
        <v>0</v>
      </c>
      <c r="B6" s="2" t="s">
        <v>3</v>
      </c>
      <c r="C6" s="1" t="s">
        <v>5</v>
      </c>
      <c r="D6" s="2" t="s">
        <v>4</v>
      </c>
      <c r="E6" s="1" t="s">
        <v>6</v>
      </c>
      <c r="F6" s="1" t="s">
        <v>7</v>
      </c>
      <c r="G6" s="3" t="s">
        <v>1</v>
      </c>
      <c r="H6" s="3" t="s">
        <v>2</v>
      </c>
      <c r="I6" s="1" t="s">
        <v>49</v>
      </c>
      <c r="J6" s="1" t="s">
        <v>48</v>
      </c>
      <c r="K6" s="44" t="s">
        <v>45</v>
      </c>
      <c r="L6" s="44" t="s">
        <v>46</v>
      </c>
      <c r="M6" s="45" t="s">
        <v>47</v>
      </c>
      <c r="N6" s="31" t="s">
        <v>44</v>
      </c>
      <c r="O6" s="55"/>
      <c r="P6" s="55"/>
      <c r="Q6" s="8"/>
    </row>
    <row r="7" spans="1:17" x14ac:dyDescent="0.25">
      <c r="A7" s="13">
        <v>60</v>
      </c>
      <c r="B7" s="5">
        <v>188</v>
      </c>
      <c r="C7" s="4">
        <v>44640</v>
      </c>
      <c r="D7" s="5">
        <v>281</v>
      </c>
      <c r="E7" s="4">
        <v>38730</v>
      </c>
      <c r="F7" s="4">
        <f>+D7-B7+1</f>
        <v>94</v>
      </c>
      <c r="G7" s="3">
        <v>-63.55</v>
      </c>
      <c r="H7" s="3">
        <v>56590</v>
      </c>
      <c r="I7" s="6">
        <f>5.1014*10^6</f>
        <v>5101400</v>
      </c>
      <c r="J7" s="6">
        <f>3.9186*10^6</f>
        <v>3918600</v>
      </c>
      <c r="K7" s="46">
        <f>+I7-J7</f>
        <v>1182800</v>
      </c>
      <c r="L7" s="46">
        <f>+SQRT(I7+J7)</f>
        <v>3003.3314835362412</v>
      </c>
      <c r="M7" s="45">
        <f>100*L7/K7</f>
        <v>0.25391710209132912</v>
      </c>
      <c r="N7" s="14">
        <f>+K7/86400</f>
        <v>13.689814814814815</v>
      </c>
    </row>
    <row r="8" spans="1:17" x14ac:dyDescent="0.25">
      <c r="A8" s="13">
        <v>88</v>
      </c>
      <c r="B8" s="5">
        <v>285</v>
      </c>
      <c r="C8" s="4">
        <v>38490</v>
      </c>
      <c r="D8" s="5">
        <v>410</v>
      </c>
      <c r="E8" s="4">
        <v>35660</v>
      </c>
      <c r="F8" s="4">
        <f t="shared" ref="F8:F18" si="0">+D8-B8+1</f>
        <v>126</v>
      </c>
      <c r="G8" s="3">
        <v>-22.64</v>
      </c>
      <c r="H8" s="3">
        <v>44940</v>
      </c>
      <c r="I8" s="6">
        <f>8.0677*10^6</f>
        <v>8067700</v>
      </c>
      <c r="J8" s="6">
        <f>4.6711*10^6</f>
        <v>4671100</v>
      </c>
      <c r="K8" s="46">
        <f t="shared" ref="K8:K18" si="1">+I8-J8</f>
        <v>3396600</v>
      </c>
      <c r="L8" s="46">
        <f t="shared" ref="L8:L18" si="2">+SQRT(I8+J8)</f>
        <v>3569.1455560119707</v>
      </c>
      <c r="M8" s="45">
        <f t="shared" ref="M8:M18" si="3">100*L8/K8</f>
        <v>0.10507994924371344</v>
      </c>
      <c r="N8" s="14">
        <f t="shared" ref="N8:N18" si="4">+K8/86400</f>
        <v>39.3125</v>
      </c>
    </row>
    <row r="9" spans="1:17" x14ac:dyDescent="0.25">
      <c r="A9" s="13">
        <v>122</v>
      </c>
      <c r="B9" s="5">
        <v>419</v>
      </c>
      <c r="C9" s="4">
        <v>35330</v>
      </c>
      <c r="D9" s="5">
        <v>545</v>
      </c>
      <c r="E9" s="4">
        <v>35700</v>
      </c>
      <c r="F9" s="4">
        <f t="shared" si="0"/>
        <v>127</v>
      </c>
      <c r="G9" s="3">
        <v>2.9369999999999998</v>
      </c>
      <c r="H9" s="3">
        <v>34100</v>
      </c>
      <c r="I9" s="6">
        <f>7.6867*10^6</f>
        <v>7686700</v>
      </c>
      <c r="J9" s="6">
        <f>4.5105*10^6</f>
        <v>4510500</v>
      </c>
      <c r="K9" s="46">
        <f t="shared" si="1"/>
        <v>3176200</v>
      </c>
      <c r="L9" s="46">
        <f t="shared" si="2"/>
        <v>3492.4489974801349</v>
      </c>
      <c r="M9" s="45">
        <f t="shared" si="3"/>
        <v>0.10995683513255257</v>
      </c>
      <c r="N9" s="14">
        <f t="shared" si="4"/>
        <v>36.761574074074076</v>
      </c>
    </row>
    <row r="10" spans="1:17" x14ac:dyDescent="0.25">
      <c r="A10" s="13">
        <v>159</v>
      </c>
      <c r="B10" s="5">
        <v>606</v>
      </c>
      <c r="C10" s="4">
        <v>32350</v>
      </c>
      <c r="D10" s="5">
        <v>706</v>
      </c>
      <c r="E10" s="4">
        <v>29830</v>
      </c>
      <c r="F10" s="4">
        <f t="shared" si="0"/>
        <v>101</v>
      </c>
      <c r="G10" s="3">
        <v>-25.2</v>
      </c>
      <c r="H10" s="3">
        <v>47620</v>
      </c>
      <c r="I10" s="6">
        <f>5.5453*10^6</f>
        <v>5545300</v>
      </c>
      <c r="J10" s="6">
        <f>3.14*10^6</f>
        <v>3140000</v>
      </c>
      <c r="K10" s="46">
        <f t="shared" si="1"/>
        <v>2405300</v>
      </c>
      <c r="L10" s="46">
        <f t="shared" si="2"/>
        <v>2947.0833038785991</v>
      </c>
      <c r="M10" s="45">
        <f t="shared" si="3"/>
        <v>0.12252456258589776</v>
      </c>
      <c r="N10" s="14">
        <f t="shared" si="4"/>
        <v>27.83912037037037</v>
      </c>
    </row>
    <row r="11" spans="1:17" x14ac:dyDescent="0.25">
      <c r="A11" s="13">
        <v>320</v>
      </c>
      <c r="B11" s="5">
        <v>1304</v>
      </c>
      <c r="C11" s="4">
        <v>27360</v>
      </c>
      <c r="D11" s="5">
        <v>1362</v>
      </c>
      <c r="E11" s="4">
        <v>27310</v>
      </c>
      <c r="F11" s="4">
        <f t="shared" si="0"/>
        <v>59</v>
      </c>
      <c r="G11" s="3">
        <v>-0.86209999999999998</v>
      </c>
      <c r="H11" s="3">
        <v>28480</v>
      </c>
      <c r="I11" s="6">
        <f>1.7457*10^6</f>
        <v>1745700</v>
      </c>
      <c r="J11" s="6">
        <f>1.6125*10^6</f>
        <v>1612500</v>
      </c>
      <c r="K11" s="46">
        <f t="shared" si="1"/>
        <v>133200</v>
      </c>
      <c r="L11" s="46">
        <f t="shared" si="2"/>
        <v>1832.5392219540622</v>
      </c>
      <c r="M11" s="45">
        <f t="shared" si="3"/>
        <v>1.375780196662209</v>
      </c>
      <c r="N11" s="14">
        <f t="shared" si="4"/>
        <v>1.5416666666666667</v>
      </c>
    </row>
    <row r="12" spans="1:17" x14ac:dyDescent="0.25">
      <c r="A12" s="13">
        <v>392</v>
      </c>
      <c r="B12" s="5">
        <v>1566</v>
      </c>
      <c r="C12" s="4">
        <v>25360</v>
      </c>
      <c r="D12" s="5">
        <v>1681</v>
      </c>
      <c r="E12" s="4">
        <v>23290</v>
      </c>
      <c r="F12" s="4">
        <f t="shared" si="0"/>
        <v>116</v>
      </c>
      <c r="G12" s="3">
        <v>-18</v>
      </c>
      <c r="H12" s="3">
        <v>53550</v>
      </c>
      <c r="I12" s="6">
        <f>7.2921*10^6</f>
        <v>7292100</v>
      </c>
      <c r="J12" s="6">
        <v>2821932</v>
      </c>
      <c r="K12" s="46">
        <f t="shared" si="1"/>
        <v>4470168</v>
      </c>
      <c r="L12" s="46">
        <f t="shared" si="2"/>
        <v>3180.2565934213549</v>
      </c>
      <c r="M12" s="45">
        <f t="shared" si="3"/>
        <v>7.1144006073627544E-2</v>
      </c>
      <c r="N12" s="14">
        <f t="shared" si="4"/>
        <v>51.738055555555555</v>
      </c>
    </row>
    <row r="13" spans="1:17" x14ac:dyDescent="0.25">
      <c r="A13" s="13">
        <v>514</v>
      </c>
      <c r="B13" s="5">
        <v>2082</v>
      </c>
      <c r="C13" s="4">
        <v>19900</v>
      </c>
      <c r="D13" s="5">
        <v>2195</v>
      </c>
      <c r="E13" s="4">
        <v>16920</v>
      </c>
      <c r="F13" s="4">
        <f t="shared" si="0"/>
        <v>114</v>
      </c>
      <c r="G13" s="3">
        <v>-26.37</v>
      </c>
      <c r="H13" s="3">
        <v>74810</v>
      </c>
      <c r="I13" s="6">
        <f>5.1167*10^6</f>
        <v>5116700</v>
      </c>
      <c r="J13" s="6">
        <f>2.0996*10^6</f>
        <v>2099600</v>
      </c>
      <c r="K13" s="46">
        <f t="shared" si="1"/>
        <v>3017100</v>
      </c>
      <c r="L13" s="46">
        <f t="shared" si="2"/>
        <v>2686.3171815703372</v>
      </c>
      <c r="M13" s="45">
        <f t="shared" si="3"/>
        <v>8.9036398580436091E-2</v>
      </c>
      <c r="N13" s="14">
        <f t="shared" si="4"/>
        <v>34.920138888888886</v>
      </c>
    </row>
    <row r="14" spans="1:17" x14ac:dyDescent="0.25">
      <c r="A14" s="13">
        <v>662</v>
      </c>
      <c r="B14" s="5">
        <v>2675</v>
      </c>
      <c r="C14" s="4">
        <v>16780</v>
      </c>
      <c r="D14" s="5">
        <v>2808</v>
      </c>
      <c r="E14" s="4">
        <v>15830</v>
      </c>
      <c r="F14" s="4">
        <f t="shared" si="0"/>
        <v>134</v>
      </c>
      <c r="G14" s="3">
        <v>-7.1429999999999998</v>
      </c>
      <c r="H14" s="3">
        <v>35890</v>
      </c>
      <c r="I14" s="6">
        <f>1.2903*10^7</f>
        <v>12903000</v>
      </c>
      <c r="J14" s="6">
        <f>2.1852*10^6</f>
        <v>2185200</v>
      </c>
      <c r="K14" s="46">
        <f t="shared" si="1"/>
        <v>10717800</v>
      </c>
      <c r="L14" s="46">
        <f t="shared" si="2"/>
        <v>3884.3532280162162</v>
      </c>
      <c r="M14" s="45">
        <f t="shared" si="3"/>
        <v>3.6242076060536831E-2</v>
      </c>
      <c r="N14" s="14">
        <f t="shared" si="4"/>
        <v>124.04861111111111</v>
      </c>
    </row>
    <row r="15" spans="1:17" x14ac:dyDescent="0.25">
      <c r="A15" s="13">
        <v>898</v>
      </c>
      <c r="B15" s="5">
        <v>3666</v>
      </c>
      <c r="C15" s="4">
        <v>13600</v>
      </c>
      <c r="D15" s="5">
        <v>3795</v>
      </c>
      <c r="E15" s="4">
        <v>14100</v>
      </c>
      <c r="F15" s="4">
        <f t="shared" si="0"/>
        <v>130</v>
      </c>
      <c r="G15" s="3">
        <v>3.8759999999999999</v>
      </c>
      <c r="H15" s="3">
        <v>-609.29999999999995</v>
      </c>
      <c r="I15" s="6">
        <f>7.1888*10^6</f>
        <v>7188800</v>
      </c>
      <c r="J15" s="6">
        <f>1.8005*10^6</f>
        <v>1800500</v>
      </c>
      <c r="K15" s="46">
        <f t="shared" si="1"/>
        <v>5388300</v>
      </c>
      <c r="L15" s="46">
        <f t="shared" si="2"/>
        <v>2998.2161363050532</v>
      </c>
      <c r="M15" s="45">
        <f t="shared" si="3"/>
        <v>5.5643081051631377E-2</v>
      </c>
      <c r="N15" s="14">
        <f t="shared" si="4"/>
        <v>62.364583333333336</v>
      </c>
    </row>
    <row r="16" spans="1:17" x14ac:dyDescent="0.25">
      <c r="A16" s="13">
        <v>1173</v>
      </c>
      <c r="B16" s="5">
        <v>4820</v>
      </c>
      <c r="C16" s="4">
        <v>8384</v>
      </c>
      <c r="D16" s="5">
        <v>4953</v>
      </c>
      <c r="E16" s="4">
        <v>6406</v>
      </c>
      <c r="F16" s="4">
        <f t="shared" si="0"/>
        <v>134</v>
      </c>
      <c r="G16" s="3">
        <v>-14.87</v>
      </c>
      <c r="H16" s="3">
        <v>80700</v>
      </c>
      <c r="I16" s="6">
        <f>8.744*10^6</f>
        <v>8744000</v>
      </c>
      <c r="J16" s="6">
        <f>1.0771*10^6</f>
        <v>1077100</v>
      </c>
      <c r="K16" s="46">
        <f t="shared" si="1"/>
        <v>7666900</v>
      </c>
      <c r="L16" s="46">
        <f t="shared" si="2"/>
        <v>3133.8634303364274</v>
      </c>
      <c r="M16" s="45">
        <f t="shared" si="3"/>
        <v>4.0875235497220878E-2</v>
      </c>
      <c r="N16" s="14">
        <f t="shared" si="4"/>
        <v>88.737268518518519</v>
      </c>
    </row>
    <row r="17" spans="1:14" x14ac:dyDescent="0.25">
      <c r="A17" s="13">
        <v>1333</v>
      </c>
      <c r="B17" s="5">
        <v>5452</v>
      </c>
      <c r="C17" s="4">
        <v>4454</v>
      </c>
      <c r="D17" s="5">
        <v>5622</v>
      </c>
      <c r="E17" s="4">
        <v>4041</v>
      </c>
      <c r="F17" s="4">
        <f t="shared" si="0"/>
        <v>171</v>
      </c>
      <c r="G17" s="3">
        <v>-2.4289999999999998</v>
      </c>
      <c r="H17" s="3">
        <v>17700</v>
      </c>
      <c r="I17" s="6">
        <f>7.938*10^6</f>
        <v>7938000</v>
      </c>
      <c r="J17" s="6">
        <f>7.2686*10^5</f>
        <v>726860</v>
      </c>
      <c r="K17" s="46">
        <f t="shared" si="1"/>
        <v>7211140</v>
      </c>
      <c r="L17" s="46">
        <f t="shared" si="2"/>
        <v>2943.6134257065755</v>
      </c>
      <c r="M17" s="45">
        <f t="shared" si="3"/>
        <v>4.0820361630845826E-2</v>
      </c>
      <c r="N17" s="14">
        <f t="shared" si="4"/>
        <v>83.462268518518513</v>
      </c>
    </row>
    <row r="18" spans="1:14" ht="15.75" thickBot="1" x14ac:dyDescent="0.3">
      <c r="A18" s="15">
        <v>1836</v>
      </c>
      <c r="B18" s="16">
        <v>7532</v>
      </c>
      <c r="C18" s="17">
        <v>2127</v>
      </c>
      <c r="D18" s="16">
        <v>7727</v>
      </c>
      <c r="E18" s="17">
        <v>1973</v>
      </c>
      <c r="F18" s="17">
        <f t="shared" si="0"/>
        <v>196</v>
      </c>
      <c r="G18" s="18">
        <v>-0.78969999999999996</v>
      </c>
      <c r="H18" s="18">
        <v>8075</v>
      </c>
      <c r="I18" s="19">
        <f>3.9114*10^6</f>
        <v>3911400</v>
      </c>
      <c r="J18" s="19">
        <f>4.018*10^5</f>
        <v>401800</v>
      </c>
      <c r="K18" s="47">
        <f t="shared" si="1"/>
        <v>3509600</v>
      </c>
      <c r="L18" s="47">
        <f t="shared" si="2"/>
        <v>2076.8244990850817</v>
      </c>
      <c r="M18" s="48">
        <f t="shared" si="3"/>
        <v>5.9175532798184452E-2</v>
      </c>
      <c r="N18" s="20">
        <f t="shared" si="4"/>
        <v>40.620370370370374</v>
      </c>
    </row>
    <row r="21" spans="1:14" x14ac:dyDescent="0.25">
      <c r="A21" s="32" t="s">
        <v>34</v>
      </c>
      <c r="B21" s="33">
        <v>42675</v>
      </c>
      <c r="C21" s="32"/>
      <c r="D21" s="32"/>
      <c r="E21" s="32"/>
      <c r="F21" s="32"/>
      <c r="G21" s="32"/>
      <c r="H21" s="32"/>
      <c r="I21" s="32"/>
      <c r="J21" s="32"/>
      <c r="K21" s="32"/>
    </row>
    <row r="22" spans="1:14" ht="60" x14ac:dyDescent="0.25">
      <c r="A22" s="34" t="s">
        <v>21</v>
      </c>
      <c r="B22" s="35" t="s">
        <v>33</v>
      </c>
      <c r="C22" s="35" t="s">
        <v>32</v>
      </c>
      <c r="D22" s="35" t="s">
        <v>31</v>
      </c>
      <c r="E22" s="35" t="s">
        <v>30</v>
      </c>
      <c r="F22" s="35" t="s">
        <v>29</v>
      </c>
      <c r="G22" s="35" t="s">
        <v>28</v>
      </c>
      <c r="H22" s="35" t="s">
        <v>27</v>
      </c>
      <c r="I22" s="35" t="s">
        <v>26</v>
      </c>
      <c r="J22" s="35" t="s">
        <v>25</v>
      </c>
      <c r="K22" s="35" t="s">
        <v>24</v>
      </c>
    </row>
    <row r="23" spans="1:14" x14ac:dyDescent="0.25">
      <c r="A23" s="34" t="s">
        <v>20</v>
      </c>
      <c r="B23" s="34">
        <v>60</v>
      </c>
      <c r="C23" s="34"/>
      <c r="D23" s="34">
        <v>432.17</v>
      </c>
      <c r="E23" s="34">
        <v>0.66</v>
      </c>
      <c r="F23" s="34">
        <v>2.9409999999999999E-2</v>
      </c>
      <c r="G23" s="36">
        <v>36</v>
      </c>
      <c r="H23" s="36">
        <f t="shared" ref="H23:H34" si="5">+F23*(G23/100)*37*10^9/10^6</f>
        <v>391.74119999999994</v>
      </c>
      <c r="I23" s="37">
        <f t="shared" ref="I23:I34" si="6">+H23*J23/100</f>
        <v>12.1439772</v>
      </c>
      <c r="J23" s="34">
        <v>3.1</v>
      </c>
      <c r="K23" s="34">
        <f>+LN(2)/(365*D23)</f>
        <v>4.3941813901869866E-6</v>
      </c>
    </row>
    <row r="24" spans="1:14" x14ac:dyDescent="0.25">
      <c r="A24" s="34" t="s">
        <v>19</v>
      </c>
      <c r="B24" s="34">
        <v>88</v>
      </c>
      <c r="C24" s="34">
        <v>462.6</v>
      </c>
      <c r="D24" s="34"/>
      <c r="E24" s="34">
        <v>0.7</v>
      </c>
      <c r="F24" s="34">
        <v>0.2707</v>
      </c>
      <c r="G24" s="34">
        <v>3.63</v>
      </c>
      <c r="H24" s="36">
        <f t="shared" si="5"/>
        <v>363.57716999999997</v>
      </c>
      <c r="I24" s="37">
        <f t="shared" si="6"/>
        <v>11.270892269999999</v>
      </c>
      <c r="J24" s="34">
        <v>3.1</v>
      </c>
      <c r="K24" s="34">
        <f t="shared" ref="K24:K29" si="7">+LN(2)/(C24)</f>
        <v>1.4983726341546589E-3</v>
      </c>
    </row>
    <row r="25" spans="1:14" x14ac:dyDescent="0.25">
      <c r="A25" s="34" t="s">
        <v>18</v>
      </c>
      <c r="B25" s="34">
        <v>122</v>
      </c>
      <c r="C25" s="34">
        <v>271.79000000000002</v>
      </c>
      <c r="D25" s="34"/>
      <c r="E25" s="34">
        <v>0.09</v>
      </c>
      <c r="F25" s="34">
        <v>1.0189999999999999E-2</v>
      </c>
      <c r="G25" s="34">
        <v>85.6</v>
      </c>
      <c r="H25" s="36">
        <f t="shared" si="5"/>
        <v>322.73768000000001</v>
      </c>
      <c r="I25" s="37">
        <f t="shared" si="6"/>
        <v>10.327605760000001</v>
      </c>
      <c r="J25" s="34">
        <v>3.2</v>
      </c>
      <c r="K25" s="34">
        <f t="shared" si="7"/>
        <v>2.5503042075129519E-3</v>
      </c>
    </row>
    <row r="26" spans="1:14" x14ac:dyDescent="0.25">
      <c r="A26" s="34" t="s">
        <v>17</v>
      </c>
      <c r="B26" s="34">
        <v>159</v>
      </c>
      <c r="C26" s="34">
        <v>119.7</v>
      </c>
      <c r="D26" s="34"/>
      <c r="E26" s="34">
        <v>0.1</v>
      </c>
      <c r="F26" s="34">
        <v>1.4030000000000001E-2</v>
      </c>
      <c r="G26" s="36">
        <v>84</v>
      </c>
      <c r="H26" s="36">
        <f t="shared" si="5"/>
        <v>436.05239999999998</v>
      </c>
      <c r="I26" s="37">
        <f t="shared" si="6"/>
        <v>13.9536768</v>
      </c>
      <c r="J26" s="34">
        <v>3.2</v>
      </c>
      <c r="K26" s="34">
        <f t="shared" si="7"/>
        <v>5.7907032628232687E-3</v>
      </c>
    </row>
    <row r="27" spans="1:14" x14ac:dyDescent="0.25">
      <c r="A27" s="34" t="s">
        <v>16</v>
      </c>
      <c r="B27" s="34">
        <v>320</v>
      </c>
      <c r="C27" s="34">
        <v>27.706</v>
      </c>
      <c r="D27" s="34"/>
      <c r="E27" s="34">
        <v>7.0000000000000001E-3</v>
      </c>
      <c r="F27" s="34">
        <v>0.33889999999999998</v>
      </c>
      <c r="G27" s="34">
        <v>9.86</v>
      </c>
      <c r="H27" s="37">
        <f t="shared" si="5"/>
        <v>1236.3749799999998</v>
      </c>
      <c r="I27" s="37">
        <f t="shared" si="6"/>
        <v>38.327624379999996</v>
      </c>
      <c r="J27" s="34">
        <v>3.1</v>
      </c>
      <c r="K27" s="34">
        <f t="shared" si="7"/>
        <v>2.5017944869701339E-2</v>
      </c>
    </row>
    <row r="28" spans="1:14" x14ac:dyDescent="0.25">
      <c r="A28" s="34" t="s">
        <v>15</v>
      </c>
      <c r="B28" s="34">
        <v>392</v>
      </c>
      <c r="C28" s="34">
        <v>115.09</v>
      </c>
      <c r="D28" s="34"/>
      <c r="E28" s="34">
        <v>0.04</v>
      </c>
      <c r="F28" s="34">
        <v>5.1090000000000003E-2</v>
      </c>
      <c r="G28" s="34">
        <v>64.900000000000006</v>
      </c>
      <c r="H28" s="37">
        <f t="shared" si="5"/>
        <v>1226.8241700000003</v>
      </c>
      <c r="I28" s="37">
        <f t="shared" si="6"/>
        <v>38.031549270000006</v>
      </c>
      <c r="J28" s="34">
        <v>3.1</v>
      </c>
      <c r="K28" s="34">
        <f t="shared" si="7"/>
        <v>6.022653406550919E-3</v>
      </c>
    </row>
    <row r="29" spans="1:14" x14ac:dyDescent="0.25">
      <c r="A29" s="34" t="s">
        <v>14</v>
      </c>
      <c r="B29" s="34">
        <v>514</v>
      </c>
      <c r="C29" s="34">
        <v>64.849000000000004</v>
      </c>
      <c r="D29" s="34"/>
      <c r="E29" s="34">
        <v>4.0000000000000001E-3</v>
      </c>
      <c r="F29" s="34">
        <v>6.1710000000000001E-2</v>
      </c>
      <c r="G29" s="34">
        <v>98.4</v>
      </c>
      <c r="H29" s="37">
        <f t="shared" si="5"/>
        <v>2246.7376800000006</v>
      </c>
      <c r="I29" s="37">
        <f t="shared" si="6"/>
        <v>69.648868080000014</v>
      </c>
      <c r="J29" s="34">
        <v>3.1</v>
      </c>
      <c r="K29" s="34">
        <f t="shared" si="7"/>
        <v>1.0688633295192604E-2</v>
      </c>
    </row>
    <row r="30" spans="1:14" x14ac:dyDescent="0.25">
      <c r="A30" s="34" t="s">
        <v>13</v>
      </c>
      <c r="B30" s="34">
        <v>662</v>
      </c>
      <c r="C30" s="34"/>
      <c r="D30" s="34">
        <v>30.17</v>
      </c>
      <c r="E30" s="34">
        <v>0.16</v>
      </c>
      <c r="F30" s="34">
        <v>4.3249999999999997E-2</v>
      </c>
      <c r="G30" s="34">
        <v>85.1</v>
      </c>
      <c r="H30" s="37">
        <f t="shared" si="5"/>
        <v>1361.8127500000001</v>
      </c>
      <c r="I30" s="37">
        <f t="shared" si="6"/>
        <v>42.216195249999998</v>
      </c>
      <c r="J30" s="34">
        <v>3.1</v>
      </c>
      <c r="K30" s="34">
        <f>+LN(2)/(365*D30)</f>
        <v>6.294442729191615E-5</v>
      </c>
    </row>
    <row r="31" spans="1:14" x14ac:dyDescent="0.25">
      <c r="A31" s="34" t="s">
        <v>11</v>
      </c>
      <c r="B31" s="34">
        <v>898</v>
      </c>
      <c r="C31" s="34">
        <v>106.63</v>
      </c>
      <c r="D31" s="34"/>
      <c r="E31" s="34">
        <v>2.5000000000000001E-2</v>
      </c>
      <c r="F31" s="34">
        <v>9.622E-2</v>
      </c>
      <c r="G31" s="36">
        <v>94</v>
      </c>
      <c r="H31" s="37">
        <f t="shared" si="5"/>
        <v>3346.5315999999993</v>
      </c>
      <c r="I31" s="37">
        <f t="shared" si="6"/>
        <v>103.74247959999998</v>
      </c>
      <c r="J31" s="34">
        <v>3.1</v>
      </c>
      <c r="K31" s="34">
        <f>+LN(2)/(C31)</f>
        <v>6.5004893609673202E-3</v>
      </c>
    </row>
    <row r="32" spans="1:14" x14ac:dyDescent="0.25">
      <c r="A32" s="34" t="s">
        <v>12</v>
      </c>
      <c r="B32" s="34">
        <v>1173</v>
      </c>
      <c r="C32" s="34"/>
      <c r="D32" s="34">
        <v>5.2720000000000002</v>
      </c>
      <c r="E32" s="34">
        <v>1E-3</v>
      </c>
      <c r="F32" s="34">
        <v>5.101E-2</v>
      </c>
      <c r="G32" s="34">
        <v>99.86</v>
      </c>
      <c r="H32" s="37">
        <f t="shared" si="5"/>
        <v>1884.727682</v>
      </c>
      <c r="I32" s="37">
        <f t="shared" si="6"/>
        <v>58.426558142000005</v>
      </c>
      <c r="J32" s="34">
        <v>3.1</v>
      </c>
      <c r="K32" s="34">
        <f>+LN(2)/(365*D32)</f>
        <v>3.6021118577335171E-4</v>
      </c>
    </row>
    <row r="33" spans="1:11" x14ac:dyDescent="0.25">
      <c r="A33" s="34" t="s">
        <v>12</v>
      </c>
      <c r="B33" s="34">
        <v>1333</v>
      </c>
      <c r="C33" s="34"/>
      <c r="D33" s="34">
        <v>5.2720000000000002</v>
      </c>
      <c r="E33" s="34">
        <v>1E-3</v>
      </c>
      <c r="F33" s="34">
        <v>5.101E-2</v>
      </c>
      <c r="G33" s="34">
        <v>99.98</v>
      </c>
      <c r="H33" s="37">
        <f t="shared" si="5"/>
        <v>1886.992526</v>
      </c>
      <c r="I33" s="37">
        <f t="shared" si="6"/>
        <v>58.496768306000007</v>
      </c>
      <c r="J33" s="34">
        <v>3.1</v>
      </c>
      <c r="K33" s="34">
        <f>+LN(2)/(365*D33)</f>
        <v>3.6021118577335171E-4</v>
      </c>
    </row>
    <row r="34" spans="1:11" x14ac:dyDescent="0.25">
      <c r="A34" s="34" t="s">
        <v>11</v>
      </c>
      <c r="B34" s="34">
        <v>1836</v>
      </c>
      <c r="C34" s="34">
        <v>106.63</v>
      </c>
      <c r="D34" s="34"/>
      <c r="E34" s="34">
        <v>2.5000000000000001E-2</v>
      </c>
      <c r="F34" s="34">
        <v>9.622E-2</v>
      </c>
      <c r="G34" s="34">
        <v>99.4</v>
      </c>
      <c r="H34" s="37">
        <f t="shared" si="5"/>
        <v>3538.7791600000005</v>
      </c>
      <c r="I34" s="37">
        <f t="shared" si="6"/>
        <v>109.70215396000002</v>
      </c>
      <c r="J34" s="34">
        <v>3.1</v>
      </c>
      <c r="K34" s="34">
        <f>+LN(2)/(C34)</f>
        <v>6.5004893609673202E-3</v>
      </c>
    </row>
    <row r="36" spans="1:11" x14ac:dyDescent="0.25">
      <c r="A36" s="26" t="s">
        <v>23</v>
      </c>
      <c r="C36" t="s">
        <v>114</v>
      </c>
    </row>
    <row r="37" spans="1:11" x14ac:dyDescent="0.25">
      <c r="A37" s="26" t="s">
        <v>22</v>
      </c>
      <c r="B37" s="58">
        <v>42856</v>
      </c>
      <c r="C37" s="59"/>
    </row>
    <row r="38" spans="1:11" x14ac:dyDescent="0.25">
      <c r="A38" s="27" t="s">
        <v>39</v>
      </c>
      <c r="B38" s="59">
        <v>86400</v>
      </c>
      <c r="C38" s="59"/>
      <c r="D38" t="s">
        <v>38</v>
      </c>
    </row>
    <row r="39" spans="1:11" x14ac:dyDescent="0.25">
      <c r="A39" s="27" t="s">
        <v>40</v>
      </c>
      <c r="B39" s="60">
        <f>+B37-$B$21</f>
        <v>181</v>
      </c>
      <c r="C39" s="59"/>
      <c r="D39" t="s">
        <v>37</v>
      </c>
    </row>
    <row r="40" spans="1:11" x14ac:dyDescent="0.25">
      <c r="A40" s="25"/>
    </row>
    <row r="41" spans="1:11" ht="45" x14ac:dyDescent="0.25">
      <c r="A41" s="23" t="s">
        <v>21</v>
      </c>
      <c r="B41" s="24" t="s">
        <v>9</v>
      </c>
      <c r="C41" s="24" t="s">
        <v>10</v>
      </c>
      <c r="D41" s="1" t="s">
        <v>41</v>
      </c>
      <c r="E41" s="28" t="s">
        <v>42</v>
      </c>
      <c r="F41" s="29" t="s">
        <v>43</v>
      </c>
      <c r="G41" s="55"/>
    </row>
    <row r="42" spans="1:11" x14ac:dyDescent="0.25">
      <c r="A42" s="23" t="s">
        <v>20</v>
      </c>
      <c r="B42" s="22">
        <f>+H23*EXP(-K23*$B$39)</f>
        <v>391.42975374807605</v>
      </c>
      <c r="C42" s="21">
        <f>+$B$38*B42</f>
        <v>33819530.72383377</v>
      </c>
      <c r="D42" s="6">
        <f>+K7</f>
        <v>1182800</v>
      </c>
      <c r="E42" s="4">
        <f>+B23</f>
        <v>60</v>
      </c>
      <c r="F42" s="30">
        <f>+D42/C42</f>
        <v>3.4973873814471375E-2</v>
      </c>
    </row>
    <row r="43" spans="1:11" x14ac:dyDescent="0.25">
      <c r="A43" s="23" t="s">
        <v>19</v>
      </c>
      <c r="B43" s="22">
        <f t="shared" ref="B43:B53" si="8">+H24*EXP(-K24*$B$39)</f>
        <v>277.21298919095653</v>
      </c>
      <c r="C43" s="21">
        <f t="shared" ref="C43:C53" si="9">+$B$38*B43</f>
        <v>23951202.266098645</v>
      </c>
      <c r="D43" s="6">
        <f t="shared" ref="D43:D53" si="10">+K8</f>
        <v>3396600</v>
      </c>
      <c r="E43" s="4">
        <f t="shared" ref="E43:E53" si="11">+B24</f>
        <v>88</v>
      </c>
      <c r="F43" s="30">
        <f t="shared" ref="F43:F53" si="12">+D43/C43</f>
        <v>0.14181334040202501</v>
      </c>
    </row>
    <row r="44" spans="1:11" x14ac:dyDescent="0.25">
      <c r="A44" s="23" t="s">
        <v>18</v>
      </c>
      <c r="B44" s="22">
        <f t="shared" si="8"/>
        <v>203.41226780311328</v>
      </c>
      <c r="C44" s="21">
        <f t="shared" si="9"/>
        <v>17574819.938188989</v>
      </c>
      <c r="D44" s="6">
        <f t="shared" si="10"/>
        <v>3176200</v>
      </c>
      <c r="E44" s="4">
        <f t="shared" si="11"/>
        <v>122</v>
      </c>
      <c r="F44" s="30">
        <f t="shared" si="12"/>
        <v>0.18072446893742083</v>
      </c>
    </row>
    <row r="45" spans="1:11" x14ac:dyDescent="0.25">
      <c r="A45" s="23" t="s">
        <v>17</v>
      </c>
      <c r="B45" s="22">
        <f t="shared" si="8"/>
        <v>152.8787508395605</v>
      </c>
      <c r="C45" s="21">
        <f t="shared" si="9"/>
        <v>13208724.072538028</v>
      </c>
      <c r="D45" s="6">
        <f t="shared" si="10"/>
        <v>2405300</v>
      </c>
      <c r="E45" s="4">
        <f t="shared" si="11"/>
        <v>159</v>
      </c>
      <c r="F45" s="30">
        <f t="shared" si="12"/>
        <v>0.18209934485654122</v>
      </c>
    </row>
    <row r="46" spans="1:11" x14ac:dyDescent="0.25">
      <c r="A46" s="23" t="s">
        <v>16</v>
      </c>
      <c r="B46" s="22">
        <f t="shared" si="8"/>
        <v>13.352330681171596</v>
      </c>
      <c r="C46" s="21">
        <f t="shared" si="9"/>
        <v>1153641.3708532259</v>
      </c>
      <c r="D46" s="6">
        <f t="shared" si="10"/>
        <v>133200</v>
      </c>
      <c r="E46" s="4">
        <f t="shared" si="11"/>
        <v>320</v>
      </c>
      <c r="F46" s="30">
        <f t="shared" si="12"/>
        <v>0.11546049176572622</v>
      </c>
    </row>
    <row r="47" spans="1:11" x14ac:dyDescent="0.25">
      <c r="A47" s="23" t="s">
        <v>15</v>
      </c>
      <c r="B47" s="22">
        <f t="shared" si="8"/>
        <v>412.4371650924424</v>
      </c>
      <c r="C47" s="21">
        <f t="shared" si="9"/>
        <v>35634571.063987024</v>
      </c>
      <c r="D47" s="6">
        <f t="shared" si="10"/>
        <v>4470168</v>
      </c>
      <c r="E47" s="4">
        <f t="shared" si="11"/>
        <v>392</v>
      </c>
      <c r="F47" s="30">
        <f t="shared" si="12"/>
        <v>0.12544469784617773</v>
      </c>
    </row>
    <row r="48" spans="1:11" x14ac:dyDescent="0.25">
      <c r="A48" s="23" t="s">
        <v>14</v>
      </c>
      <c r="B48" s="22">
        <f t="shared" si="8"/>
        <v>324.59942920340052</v>
      </c>
      <c r="C48" s="21">
        <f t="shared" si="9"/>
        <v>28045390.683173805</v>
      </c>
      <c r="D48" s="6">
        <f t="shared" si="10"/>
        <v>3017100</v>
      </c>
      <c r="E48" s="4">
        <f t="shared" si="11"/>
        <v>514</v>
      </c>
      <c r="F48" s="30">
        <f t="shared" si="12"/>
        <v>0.10757917527639035</v>
      </c>
    </row>
    <row r="49" spans="1:6" x14ac:dyDescent="0.25">
      <c r="A49" s="23" t="s">
        <v>13</v>
      </c>
      <c r="B49" s="22">
        <f t="shared" si="8"/>
        <v>1346.3857435802865</v>
      </c>
      <c r="C49" s="21">
        <f t="shared" si="9"/>
        <v>116327728.24533676</v>
      </c>
      <c r="D49" s="6">
        <f t="shared" si="10"/>
        <v>10717800</v>
      </c>
      <c r="E49" s="4">
        <f t="shared" si="11"/>
        <v>662</v>
      </c>
      <c r="F49" s="30">
        <f t="shared" si="12"/>
        <v>9.2134525118517011E-2</v>
      </c>
    </row>
    <row r="50" spans="1:6" x14ac:dyDescent="0.25">
      <c r="A50" s="23" t="s">
        <v>11</v>
      </c>
      <c r="B50" s="22">
        <f t="shared" si="8"/>
        <v>1031.8320296861884</v>
      </c>
      <c r="C50" s="21">
        <f t="shared" si="9"/>
        <v>89150287.364886686</v>
      </c>
      <c r="D50" s="6">
        <f t="shared" si="10"/>
        <v>5388300</v>
      </c>
      <c r="E50" s="4">
        <f t="shared" si="11"/>
        <v>898</v>
      </c>
      <c r="F50" s="30">
        <f t="shared" si="12"/>
        <v>6.044063523817951E-2</v>
      </c>
    </row>
    <row r="51" spans="1:6" x14ac:dyDescent="0.25">
      <c r="A51" s="23" t="s">
        <v>12</v>
      </c>
      <c r="B51" s="22">
        <f t="shared" si="8"/>
        <v>1765.7669349470032</v>
      </c>
      <c r="C51" s="21">
        <f t="shared" si="9"/>
        <v>152562263.17942107</v>
      </c>
      <c r="D51" s="6">
        <f t="shared" si="10"/>
        <v>7666900</v>
      </c>
      <c r="E51" s="4">
        <f t="shared" si="11"/>
        <v>1173</v>
      </c>
      <c r="F51" s="30">
        <f t="shared" si="12"/>
        <v>5.0254236140842581E-2</v>
      </c>
    </row>
    <row r="52" spans="1:6" x14ac:dyDescent="0.25">
      <c r="A52" s="23" t="s">
        <v>12</v>
      </c>
      <c r="B52" s="22">
        <f t="shared" si="8"/>
        <v>1767.8888259162968</v>
      </c>
      <c r="C52" s="21">
        <f t="shared" si="9"/>
        <v>152745594.55916804</v>
      </c>
      <c r="D52" s="6">
        <f t="shared" si="10"/>
        <v>7211140</v>
      </c>
      <c r="E52" s="4">
        <f t="shared" si="11"/>
        <v>1333</v>
      </c>
      <c r="F52" s="30">
        <f t="shared" si="12"/>
        <v>4.721013408479463E-2</v>
      </c>
    </row>
    <row r="53" spans="1:6" x14ac:dyDescent="0.25">
      <c r="A53" s="23" t="s">
        <v>11</v>
      </c>
      <c r="B53" s="22">
        <f t="shared" si="8"/>
        <v>1091.1074867107145</v>
      </c>
      <c r="C53" s="21">
        <f t="shared" si="9"/>
        <v>94271686.851805732</v>
      </c>
      <c r="D53" s="6">
        <f t="shared" si="10"/>
        <v>3509600</v>
      </c>
      <c r="E53" s="4">
        <f t="shared" si="11"/>
        <v>1836</v>
      </c>
      <c r="F53" s="30">
        <f t="shared" si="12"/>
        <v>3.7228569013696131E-2</v>
      </c>
    </row>
  </sheetData>
  <mergeCells count="4">
    <mergeCell ref="A1:N2"/>
    <mergeCell ref="B37:C37"/>
    <mergeCell ref="B38:C38"/>
    <mergeCell ref="B39:C39"/>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zoomScale="85" zoomScaleNormal="85" workbookViewId="0">
      <selection activeCell="C55" sqref="C55"/>
    </sheetView>
  </sheetViews>
  <sheetFormatPr defaultRowHeight="15" x14ac:dyDescent="0.25"/>
  <cols>
    <col min="3" max="3" width="12" customWidth="1"/>
    <col min="4" max="4" width="10.7109375" bestFit="1" customWidth="1"/>
    <col min="9" max="9" width="10.5703125" bestFit="1" customWidth="1"/>
    <col min="10" max="10" width="11.140625" customWidth="1"/>
    <col min="11" max="12" width="10.5703125" bestFit="1" customWidth="1"/>
    <col min="16" max="16" width="10.7109375" bestFit="1" customWidth="1"/>
  </cols>
  <sheetData>
    <row r="1" spans="1:17" x14ac:dyDescent="0.25">
      <c r="A1" s="57" t="s">
        <v>52</v>
      </c>
      <c r="B1" s="57"/>
      <c r="C1" s="57"/>
      <c r="D1" s="57"/>
      <c r="E1" s="57"/>
      <c r="F1" s="57"/>
      <c r="G1" s="57"/>
      <c r="H1" s="57"/>
      <c r="I1" s="57"/>
      <c r="J1" s="57"/>
      <c r="K1" s="57"/>
      <c r="L1" s="57"/>
      <c r="M1" s="57"/>
      <c r="N1" s="57"/>
    </row>
    <row r="2" spans="1:17" x14ac:dyDescent="0.25">
      <c r="A2" s="57"/>
      <c r="B2" s="57"/>
      <c r="C2" s="57"/>
      <c r="D2" s="57"/>
      <c r="E2" s="57"/>
      <c r="F2" s="57"/>
      <c r="G2" s="57"/>
      <c r="H2" s="57"/>
      <c r="I2" s="57"/>
      <c r="J2" s="57"/>
      <c r="K2" s="57"/>
      <c r="L2" s="57"/>
      <c r="M2" s="57"/>
      <c r="N2" s="57"/>
    </row>
    <row r="4" spans="1:17" ht="15.75" thickBot="1" x14ac:dyDescent="0.3"/>
    <row r="5" spans="1:17" x14ac:dyDescent="0.25">
      <c r="A5" s="9" t="s">
        <v>8</v>
      </c>
      <c r="B5" s="10"/>
      <c r="C5" s="10"/>
      <c r="D5" s="10"/>
      <c r="E5" s="10"/>
      <c r="F5" s="10"/>
      <c r="G5" s="10"/>
      <c r="H5" s="10"/>
      <c r="I5" s="10"/>
      <c r="J5" s="10"/>
      <c r="K5" s="10"/>
      <c r="L5" s="10"/>
      <c r="M5" s="10"/>
      <c r="N5" s="11"/>
    </row>
    <row r="6" spans="1:17" ht="45" x14ac:dyDescent="0.25">
      <c r="A6" s="12" t="s">
        <v>0</v>
      </c>
      <c r="B6" s="2" t="s">
        <v>3</v>
      </c>
      <c r="C6" s="1" t="s">
        <v>5</v>
      </c>
      <c r="D6" s="2" t="s">
        <v>4</v>
      </c>
      <c r="E6" s="1" t="s">
        <v>6</v>
      </c>
      <c r="F6" s="1" t="s">
        <v>7</v>
      </c>
      <c r="G6" s="3" t="s">
        <v>1</v>
      </c>
      <c r="H6" s="3" t="s">
        <v>2</v>
      </c>
      <c r="I6" s="1" t="s">
        <v>49</v>
      </c>
      <c r="J6" s="1" t="s">
        <v>48</v>
      </c>
      <c r="K6" s="44" t="s">
        <v>45</v>
      </c>
      <c r="L6" s="44" t="s">
        <v>46</v>
      </c>
      <c r="M6" s="45" t="s">
        <v>47</v>
      </c>
      <c r="N6" s="31" t="s">
        <v>44</v>
      </c>
      <c r="O6" s="38"/>
      <c r="P6" s="38"/>
      <c r="Q6" s="8"/>
    </row>
    <row r="7" spans="1:17" x14ac:dyDescent="0.25">
      <c r="A7" s="13">
        <v>60</v>
      </c>
      <c r="B7" s="5">
        <v>188</v>
      </c>
      <c r="C7" s="4">
        <v>30680</v>
      </c>
      <c r="D7" s="5">
        <v>281</v>
      </c>
      <c r="E7" s="4">
        <v>26640</v>
      </c>
      <c r="F7" s="4">
        <f>+D7-B7+1</f>
        <v>94</v>
      </c>
      <c r="G7" s="3">
        <v>-43.44</v>
      </c>
      <c r="H7" s="3">
        <v>38850</v>
      </c>
      <c r="I7" s="6">
        <f>3.4438*10^6</f>
        <v>3443800</v>
      </c>
      <c r="J7" s="6">
        <f>2.6944*10^6</f>
        <v>2694400</v>
      </c>
      <c r="K7" s="46">
        <f>+I7-J7</f>
        <v>749400</v>
      </c>
      <c r="L7" s="46">
        <f>+SQRT(I7+J7)</f>
        <v>2477.539101608691</v>
      </c>
      <c r="M7" s="45">
        <f>100*L7/K7</f>
        <v>0.3306030293046025</v>
      </c>
      <c r="N7" s="14">
        <f>+K7/86400</f>
        <v>8.6736111111111107</v>
      </c>
      <c r="P7" s="39"/>
    </row>
    <row r="8" spans="1:17" x14ac:dyDescent="0.25">
      <c r="A8" s="13">
        <v>88</v>
      </c>
      <c r="B8" s="5">
        <v>285</v>
      </c>
      <c r="C8" s="4">
        <v>26480</v>
      </c>
      <c r="D8" s="5">
        <v>410</v>
      </c>
      <c r="E8" s="4">
        <v>24510</v>
      </c>
      <c r="F8" s="4">
        <f t="shared" ref="F8:F18" si="0">+D8-B8+1</f>
        <v>126</v>
      </c>
      <c r="G8" s="3">
        <v>-15.76</v>
      </c>
      <c r="H8" s="3">
        <v>30970</v>
      </c>
      <c r="I8" s="6">
        <f>5.2705*10^6</f>
        <v>5270500</v>
      </c>
      <c r="J8" s="6">
        <f>3.2122*10^6</f>
        <v>3212200</v>
      </c>
      <c r="K8" s="46">
        <f t="shared" ref="K8:K18" si="1">+I8-J8</f>
        <v>2058300</v>
      </c>
      <c r="L8" s="46">
        <f t="shared" ref="L8:L18" si="2">+SQRT(I8+J8)</f>
        <v>2912.5075107199295</v>
      </c>
      <c r="M8" s="45">
        <f t="shared" ref="M8:M18" si="3">100*L8/K8</f>
        <v>0.14150063210999028</v>
      </c>
      <c r="N8" s="14">
        <f t="shared" ref="N8:N18" si="4">+K8/86400</f>
        <v>23.822916666666668</v>
      </c>
      <c r="P8" s="39"/>
    </row>
    <row r="9" spans="1:17" x14ac:dyDescent="0.25">
      <c r="A9" s="13">
        <v>122</v>
      </c>
      <c r="B9" s="5">
        <v>419</v>
      </c>
      <c r="C9" s="4">
        <v>24550</v>
      </c>
      <c r="D9" s="5">
        <v>545</v>
      </c>
      <c r="E9" s="4">
        <v>24360</v>
      </c>
      <c r="F9" s="4">
        <f t="shared" si="0"/>
        <v>127</v>
      </c>
      <c r="G9" s="3">
        <v>-1.508</v>
      </c>
      <c r="H9" s="3">
        <v>25180</v>
      </c>
      <c r="I9" s="6">
        <f>4.9287*10^6</f>
        <v>4928700</v>
      </c>
      <c r="J9" s="6">
        <f>3.1055*10^6</f>
        <v>3105500</v>
      </c>
      <c r="K9" s="46">
        <f t="shared" si="1"/>
        <v>1823200</v>
      </c>
      <c r="L9" s="46">
        <f t="shared" si="2"/>
        <v>2834.4664400906213</v>
      </c>
      <c r="M9" s="45">
        <f t="shared" si="3"/>
        <v>0.15546656648149526</v>
      </c>
      <c r="N9" s="14">
        <f t="shared" si="4"/>
        <v>21.101851851851851</v>
      </c>
    </row>
    <row r="10" spans="1:17" x14ac:dyDescent="0.25">
      <c r="A10" s="13">
        <v>159</v>
      </c>
      <c r="B10" s="5">
        <v>606</v>
      </c>
      <c r="C10" s="4">
        <v>22400</v>
      </c>
      <c r="D10" s="5">
        <v>706</v>
      </c>
      <c r="E10" s="4">
        <v>20760</v>
      </c>
      <c r="F10" s="4">
        <f t="shared" si="0"/>
        <v>101</v>
      </c>
      <c r="G10" s="3">
        <v>-16.399999999999999</v>
      </c>
      <c r="H10" s="3">
        <v>32340</v>
      </c>
      <c r="I10" s="6">
        <f>3.5807*10^6</f>
        <v>3580700</v>
      </c>
      <c r="J10" s="6">
        <f>2.1797*10^6</f>
        <v>2179700</v>
      </c>
      <c r="K10" s="46">
        <f t="shared" si="1"/>
        <v>1401000</v>
      </c>
      <c r="L10" s="46">
        <f t="shared" si="2"/>
        <v>2400.0833318866244</v>
      </c>
      <c r="M10" s="45">
        <f t="shared" si="3"/>
        <v>0.17131215787913093</v>
      </c>
      <c r="N10" s="14">
        <f t="shared" si="4"/>
        <v>16.215277777777779</v>
      </c>
    </row>
    <row r="11" spans="1:17" x14ac:dyDescent="0.25">
      <c r="A11" s="13">
        <v>320</v>
      </c>
      <c r="B11" s="5">
        <v>1304</v>
      </c>
      <c r="C11" s="4">
        <v>19330</v>
      </c>
      <c r="D11" s="5">
        <v>1362</v>
      </c>
      <c r="E11" s="4">
        <v>19160</v>
      </c>
      <c r="F11" s="4">
        <f t="shared" si="0"/>
        <v>59</v>
      </c>
      <c r="G11" s="3">
        <v>-2.931</v>
      </c>
      <c r="H11" s="3">
        <v>23150</v>
      </c>
      <c r="I11" s="6">
        <f>1.2102*10^6</f>
        <v>1210200</v>
      </c>
      <c r="J11" s="6">
        <f>1.1353*10^6</f>
        <v>1135300</v>
      </c>
      <c r="K11" s="46">
        <f t="shared" si="1"/>
        <v>74900</v>
      </c>
      <c r="L11" s="46">
        <f t="shared" si="2"/>
        <v>1531.5025301970611</v>
      </c>
      <c r="M11" s="45">
        <f t="shared" si="3"/>
        <v>2.0447296798358625</v>
      </c>
      <c r="N11" s="14">
        <f t="shared" si="4"/>
        <v>0.86689814814814814</v>
      </c>
    </row>
    <row r="12" spans="1:17" x14ac:dyDescent="0.25">
      <c r="A12" s="13">
        <v>392</v>
      </c>
      <c r="B12" s="5">
        <v>1566</v>
      </c>
      <c r="C12" s="4">
        <v>17730</v>
      </c>
      <c r="D12" s="5">
        <v>1681</v>
      </c>
      <c r="E12" s="4">
        <v>16520</v>
      </c>
      <c r="F12" s="4">
        <f t="shared" si="0"/>
        <v>116</v>
      </c>
      <c r="G12" s="3">
        <v>-10.52</v>
      </c>
      <c r="H12" s="3">
        <v>34210</v>
      </c>
      <c r="I12" s="6">
        <f>4.5604*10^6</f>
        <v>4560400</v>
      </c>
      <c r="J12" s="6">
        <f>1.9872*10^6</f>
        <v>1987200</v>
      </c>
      <c r="K12" s="46">
        <f t="shared" si="1"/>
        <v>2573200</v>
      </c>
      <c r="L12" s="46">
        <f t="shared" si="2"/>
        <v>2558.8278566562462</v>
      </c>
      <c r="M12" s="45">
        <f t="shared" si="3"/>
        <v>9.9441468080842782E-2</v>
      </c>
      <c r="N12" s="14">
        <f t="shared" si="4"/>
        <v>29.782407407407408</v>
      </c>
    </row>
    <row r="13" spans="1:17" x14ac:dyDescent="0.25">
      <c r="A13" s="13">
        <v>514</v>
      </c>
      <c r="B13" s="5">
        <v>2082</v>
      </c>
      <c r="C13" s="4">
        <v>13530</v>
      </c>
      <c r="D13" s="5">
        <v>2195</v>
      </c>
      <c r="E13" s="4">
        <v>11890</v>
      </c>
      <c r="F13" s="4">
        <f t="shared" si="0"/>
        <v>114</v>
      </c>
      <c r="G13" s="3">
        <v>-14.51</v>
      </c>
      <c r="H13" s="3">
        <v>43750</v>
      </c>
      <c r="I13" s="6">
        <f>3.2733*10^6</f>
        <v>3273300</v>
      </c>
      <c r="J13" s="6">
        <f>1.4501*10^6</f>
        <v>1450100</v>
      </c>
      <c r="K13" s="46">
        <f t="shared" si="1"/>
        <v>1823200</v>
      </c>
      <c r="L13" s="46">
        <f t="shared" si="2"/>
        <v>2173.3384458017576</v>
      </c>
      <c r="M13" s="45">
        <f t="shared" si="3"/>
        <v>0.11920460979605954</v>
      </c>
      <c r="N13" s="14">
        <f t="shared" si="4"/>
        <v>21.101851851851851</v>
      </c>
    </row>
    <row r="14" spans="1:17" x14ac:dyDescent="0.25">
      <c r="A14" s="13">
        <v>662</v>
      </c>
      <c r="B14" s="5">
        <v>2675</v>
      </c>
      <c r="C14" s="4">
        <v>12280</v>
      </c>
      <c r="D14" s="5">
        <v>2808</v>
      </c>
      <c r="E14" s="4">
        <v>11560</v>
      </c>
      <c r="F14" s="4">
        <f t="shared" si="0"/>
        <v>134</v>
      </c>
      <c r="G14" s="3">
        <v>-5.4139999999999997</v>
      </c>
      <c r="H14" s="3">
        <v>26760</v>
      </c>
      <c r="I14" s="6">
        <f>7.7533*10^6</f>
        <v>7753300</v>
      </c>
      <c r="J14" s="6">
        <f>1.5959*10^6</f>
        <v>1595900</v>
      </c>
      <c r="K14" s="46">
        <f t="shared" si="1"/>
        <v>6157400</v>
      </c>
      <c r="L14" s="46">
        <f t="shared" si="2"/>
        <v>3057.6461534978175</v>
      </c>
      <c r="M14" s="45">
        <f t="shared" si="3"/>
        <v>4.9658072457495331E-2</v>
      </c>
      <c r="N14" s="14">
        <f t="shared" si="4"/>
        <v>71.266203703703709</v>
      </c>
    </row>
    <row r="15" spans="1:17" x14ac:dyDescent="0.25">
      <c r="A15" s="13">
        <v>898</v>
      </c>
      <c r="B15" s="5">
        <v>3666</v>
      </c>
      <c r="C15" s="4">
        <v>10280</v>
      </c>
      <c r="D15" s="5">
        <v>3795</v>
      </c>
      <c r="E15" s="4">
        <v>10830</v>
      </c>
      <c r="F15" s="4">
        <f t="shared" si="0"/>
        <v>130</v>
      </c>
      <c r="G15" s="3">
        <v>4.2640000000000002</v>
      </c>
      <c r="H15" s="3">
        <v>-5350</v>
      </c>
      <c r="I15" s="6">
        <f>4.9271*10^6</f>
        <v>4927100</v>
      </c>
      <c r="J15" s="6">
        <f>1.3724*10^6</f>
        <v>1372400</v>
      </c>
      <c r="K15" s="46">
        <f t="shared" si="1"/>
        <v>3554700</v>
      </c>
      <c r="L15" s="46">
        <f t="shared" si="2"/>
        <v>2509.8804752417991</v>
      </c>
      <c r="M15" s="45">
        <f t="shared" si="3"/>
        <v>7.0607378266571E-2</v>
      </c>
      <c r="N15" s="14">
        <f t="shared" si="4"/>
        <v>41.142361111111114</v>
      </c>
    </row>
    <row r="16" spans="1:17" x14ac:dyDescent="0.25">
      <c r="A16" s="13">
        <v>1173</v>
      </c>
      <c r="B16" s="5">
        <v>4820</v>
      </c>
      <c r="C16" s="4">
        <v>6025</v>
      </c>
      <c r="D16" s="5">
        <v>4953</v>
      </c>
      <c r="E16" s="4">
        <v>4123</v>
      </c>
      <c r="F16" s="4">
        <f t="shared" si="0"/>
        <v>134</v>
      </c>
      <c r="G16" s="3">
        <v>-14.3</v>
      </c>
      <c r="H16" s="3">
        <v>74950</v>
      </c>
      <c r="I16" s="6">
        <f>5.7497*10^6</f>
        <v>5749700</v>
      </c>
      <c r="J16" s="6">
        <f>6.7979*10^5</f>
        <v>679790</v>
      </c>
      <c r="K16" s="46">
        <f t="shared" si="1"/>
        <v>5069910</v>
      </c>
      <c r="L16" s="46">
        <f t="shared" si="2"/>
        <v>2535.6439024437163</v>
      </c>
      <c r="M16" s="45">
        <f t="shared" si="3"/>
        <v>5.0013588060610868E-2</v>
      </c>
      <c r="N16" s="14">
        <f t="shared" si="4"/>
        <v>58.679513888888891</v>
      </c>
      <c r="P16" s="39"/>
    </row>
    <row r="17" spans="1:16" x14ac:dyDescent="0.25">
      <c r="A17" s="13">
        <v>1333</v>
      </c>
      <c r="B17" s="5">
        <v>5452</v>
      </c>
      <c r="C17" s="4">
        <v>2974</v>
      </c>
      <c r="D17" s="5">
        <v>5622</v>
      </c>
      <c r="E17" s="4">
        <v>2442</v>
      </c>
      <c r="F17" s="4">
        <f t="shared" si="0"/>
        <v>171</v>
      </c>
      <c r="G17" s="3">
        <v>-3.129</v>
      </c>
      <c r="H17" s="3">
        <v>20040</v>
      </c>
      <c r="I17" s="6">
        <f>5.2525*10^6</f>
        <v>5252500</v>
      </c>
      <c r="J17" s="6">
        <f>4.6422*10^5</f>
        <v>464220</v>
      </c>
      <c r="K17" s="46">
        <f t="shared" si="1"/>
        <v>4788280</v>
      </c>
      <c r="L17" s="46">
        <f t="shared" si="2"/>
        <v>2390.9663318415842</v>
      </c>
      <c r="M17" s="45">
        <f t="shared" si="3"/>
        <v>4.9933720079894744E-2</v>
      </c>
      <c r="N17" s="14">
        <f t="shared" si="4"/>
        <v>55.419907407407408</v>
      </c>
      <c r="P17" s="39"/>
    </row>
    <row r="18" spans="1:16" ht="15.75" thickBot="1" x14ac:dyDescent="0.3">
      <c r="A18" s="15">
        <v>1836</v>
      </c>
      <c r="B18" s="16">
        <v>7532</v>
      </c>
      <c r="C18" s="17">
        <v>1114</v>
      </c>
      <c r="D18" s="16">
        <v>7727</v>
      </c>
      <c r="E18" s="17">
        <v>846.9</v>
      </c>
      <c r="F18" s="17">
        <f t="shared" si="0"/>
        <v>196</v>
      </c>
      <c r="G18" s="18">
        <v>-1.37</v>
      </c>
      <c r="H18" s="18">
        <v>11430</v>
      </c>
      <c r="I18" s="19">
        <f>2.6544*10^6</f>
        <v>2654400</v>
      </c>
      <c r="J18" s="19">
        <f>1.9161*10^5</f>
        <v>191610</v>
      </c>
      <c r="K18" s="47">
        <f t="shared" si="1"/>
        <v>2462790</v>
      </c>
      <c r="L18" s="47">
        <f t="shared" si="2"/>
        <v>1687.012151704901</v>
      </c>
      <c r="M18" s="48">
        <f t="shared" si="3"/>
        <v>6.8500040673581619E-2</v>
      </c>
      <c r="N18" s="20">
        <f t="shared" si="4"/>
        <v>28.504513888888887</v>
      </c>
      <c r="P18" s="39"/>
    </row>
    <row r="21" spans="1:16" x14ac:dyDescent="0.25">
      <c r="A21" s="32" t="s">
        <v>34</v>
      </c>
      <c r="B21" s="33">
        <v>42675</v>
      </c>
      <c r="C21" s="32"/>
      <c r="D21" s="32"/>
      <c r="E21" s="32"/>
      <c r="F21" s="32"/>
      <c r="G21" s="32"/>
      <c r="H21" s="32"/>
      <c r="I21" s="32"/>
      <c r="J21" s="32"/>
      <c r="K21" s="32"/>
    </row>
    <row r="22" spans="1:16" ht="60" x14ac:dyDescent="0.25">
      <c r="A22" s="34" t="s">
        <v>21</v>
      </c>
      <c r="B22" s="35" t="s">
        <v>33</v>
      </c>
      <c r="C22" s="35" t="s">
        <v>32</v>
      </c>
      <c r="D22" s="35" t="s">
        <v>31</v>
      </c>
      <c r="E22" s="35" t="s">
        <v>30</v>
      </c>
      <c r="F22" s="35" t="s">
        <v>29</v>
      </c>
      <c r="G22" s="35" t="s">
        <v>28</v>
      </c>
      <c r="H22" s="35" t="s">
        <v>27</v>
      </c>
      <c r="I22" s="35" t="s">
        <v>26</v>
      </c>
      <c r="J22" s="35" t="s">
        <v>25</v>
      </c>
      <c r="K22" s="35" t="s">
        <v>24</v>
      </c>
    </row>
    <row r="23" spans="1:16" x14ac:dyDescent="0.25">
      <c r="A23" s="34" t="s">
        <v>20</v>
      </c>
      <c r="B23" s="34">
        <v>60</v>
      </c>
      <c r="C23" s="34"/>
      <c r="D23" s="34">
        <v>432.17</v>
      </c>
      <c r="E23" s="34">
        <v>0.66</v>
      </c>
      <c r="F23" s="34">
        <v>2.9409999999999999E-2</v>
      </c>
      <c r="G23" s="36">
        <v>36</v>
      </c>
      <c r="H23" s="36">
        <f t="shared" ref="H23:H34" si="5">+F23*(G23/100)*37*10^9/10^6</f>
        <v>391.74119999999994</v>
      </c>
      <c r="I23" s="37">
        <f t="shared" ref="I23:I34" si="6">+H23*J23/100</f>
        <v>12.1439772</v>
      </c>
      <c r="J23" s="34">
        <v>3.1</v>
      </c>
      <c r="K23" s="34">
        <f>+LN(2)/(365*D23)</f>
        <v>4.3941813901869866E-6</v>
      </c>
    </row>
    <row r="24" spans="1:16" x14ac:dyDescent="0.25">
      <c r="A24" s="34" t="s">
        <v>19</v>
      </c>
      <c r="B24" s="34">
        <v>88</v>
      </c>
      <c r="C24" s="34">
        <v>462.6</v>
      </c>
      <c r="D24" s="34"/>
      <c r="E24" s="34">
        <v>0.7</v>
      </c>
      <c r="F24" s="34">
        <v>0.2707</v>
      </c>
      <c r="G24" s="34">
        <v>3.63</v>
      </c>
      <c r="H24" s="36">
        <f t="shared" si="5"/>
        <v>363.57716999999997</v>
      </c>
      <c r="I24" s="37">
        <f t="shared" si="6"/>
        <v>11.270892269999999</v>
      </c>
      <c r="J24" s="34">
        <v>3.1</v>
      </c>
      <c r="K24" s="34">
        <f t="shared" ref="K24:K29" si="7">+LN(2)/(C24)</f>
        <v>1.4983726341546589E-3</v>
      </c>
    </row>
    <row r="25" spans="1:16" x14ac:dyDescent="0.25">
      <c r="A25" s="34" t="s">
        <v>18</v>
      </c>
      <c r="B25" s="34">
        <v>122</v>
      </c>
      <c r="C25" s="34">
        <v>271.79000000000002</v>
      </c>
      <c r="D25" s="34"/>
      <c r="E25" s="34">
        <v>0.09</v>
      </c>
      <c r="F25" s="34">
        <v>1.0189999999999999E-2</v>
      </c>
      <c r="G25" s="34">
        <v>85.6</v>
      </c>
      <c r="H25" s="36">
        <f t="shared" si="5"/>
        <v>322.73768000000001</v>
      </c>
      <c r="I25" s="37">
        <f t="shared" si="6"/>
        <v>10.327605760000001</v>
      </c>
      <c r="J25" s="34">
        <v>3.2</v>
      </c>
      <c r="K25" s="34">
        <f t="shared" si="7"/>
        <v>2.5503042075129519E-3</v>
      </c>
    </row>
    <row r="26" spans="1:16" x14ac:dyDescent="0.25">
      <c r="A26" s="34" t="s">
        <v>17</v>
      </c>
      <c r="B26" s="34">
        <v>159</v>
      </c>
      <c r="C26" s="34">
        <v>119.7</v>
      </c>
      <c r="D26" s="34"/>
      <c r="E26" s="34">
        <v>0.1</v>
      </c>
      <c r="F26" s="34">
        <v>1.4030000000000001E-2</v>
      </c>
      <c r="G26" s="36">
        <v>84</v>
      </c>
      <c r="H26" s="36">
        <f t="shared" si="5"/>
        <v>436.05239999999998</v>
      </c>
      <c r="I26" s="37">
        <f t="shared" si="6"/>
        <v>13.9536768</v>
      </c>
      <c r="J26" s="34">
        <v>3.2</v>
      </c>
      <c r="K26" s="34">
        <f t="shared" si="7"/>
        <v>5.7907032628232687E-3</v>
      </c>
    </row>
    <row r="27" spans="1:16" x14ac:dyDescent="0.25">
      <c r="A27" s="34" t="s">
        <v>16</v>
      </c>
      <c r="B27" s="34">
        <v>320</v>
      </c>
      <c r="C27" s="34">
        <v>27.706</v>
      </c>
      <c r="D27" s="34"/>
      <c r="E27" s="34">
        <v>7.0000000000000001E-3</v>
      </c>
      <c r="F27" s="34">
        <v>0.33889999999999998</v>
      </c>
      <c r="G27" s="34">
        <v>9.86</v>
      </c>
      <c r="H27" s="37">
        <f t="shared" si="5"/>
        <v>1236.3749799999998</v>
      </c>
      <c r="I27" s="37">
        <f t="shared" si="6"/>
        <v>38.327624379999996</v>
      </c>
      <c r="J27" s="34">
        <v>3.1</v>
      </c>
      <c r="K27" s="34">
        <f t="shared" si="7"/>
        <v>2.5017944869701339E-2</v>
      </c>
    </row>
    <row r="28" spans="1:16" x14ac:dyDescent="0.25">
      <c r="A28" s="34" t="s">
        <v>15</v>
      </c>
      <c r="B28" s="34">
        <v>392</v>
      </c>
      <c r="C28" s="34">
        <v>115.09</v>
      </c>
      <c r="D28" s="34"/>
      <c r="E28" s="34">
        <v>0.04</v>
      </c>
      <c r="F28" s="34">
        <v>5.1090000000000003E-2</v>
      </c>
      <c r="G28" s="34">
        <v>64.900000000000006</v>
      </c>
      <c r="H28" s="37">
        <f t="shared" si="5"/>
        <v>1226.8241700000003</v>
      </c>
      <c r="I28" s="37">
        <f t="shared" si="6"/>
        <v>38.031549270000006</v>
      </c>
      <c r="J28" s="34">
        <v>3.1</v>
      </c>
      <c r="K28" s="34">
        <f t="shared" si="7"/>
        <v>6.022653406550919E-3</v>
      </c>
    </row>
    <row r="29" spans="1:16" x14ac:dyDescent="0.25">
      <c r="A29" s="34" t="s">
        <v>14</v>
      </c>
      <c r="B29" s="34">
        <v>514</v>
      </c>
      <c r="C29" s="34">
        <v>64.849000000000004</v>
      </c>
      <c r="D29" s="34"/>
      <c r="E29" s="34">
        <v>4.0000000000000001E-3</v>
      </c>
      <c r="F29" s="34">
        <v>6.1710000000000001E-2</v>
      </c>
      <c r="G29" s="34">
        <v>98.4</v>
      </c>
      <c r="H29" s="37">
        <f t="shared" si="5"/>
        <v>2246.7376800000006</v>
      </c>
      <c r="I29" s="37">
        <f t="shared" si="6"/>
        <v>69.648868080000014</v>
      </c>
      <c r="J29" s="34">
        <v>3.1</v>
      </c>
      <c r="K29" s="34">
        <f t="shared" si="7"/>
        <v>1.0688633295192604E-2</v>
      </c>
    </row>
    <row r="30" spans="1:16" x14ac:dyDescent="0.25">
      <c r="A30" s="34" t="s">
        <v>13</v>
      </c>
      <c r="B30" s="34">
        <v>662</v>
      </c>
      <c r="C30" s="34"/>
      <c r="D30" s="34">
        <v>30.17</v>
      </c>
      <c r="E30" s="34">
        <v>0.16</v>
      </c>
      <c r="F30" s="34">
        <v>4.3249999999999997E-2</v>
      </c>
      <c r="G30" s="34">
        <v>85.1</v>
      </c>
      <c r="H30" s="37">
        <f t="shared" si="5"/>
        <v>1361.8127500000001</v>
      </c>
      <c r="I30" s="37">
        <f t="shared" si="6"/>
        <v>42.216195249999998</v>
      </c>
      <c r="J30" s="34">
        <v>3.1</v>
      </c>
      <c r="K30" s="34">
        <f>+LN(2)/(365*D30)</f>
        <v>6.294442729191615E-5</v>
      </c>
    </row>
    <row r="31" spans="1:16" x14ac:dyDescent="0.25">
      <c r="A31" s="34" t="s">
        <v>11</v>
      </c>
      <c r="B31" s="34">
        <v>898</v>
      </c>
      <c r="C31" s="34">
        <v>106.63</v>
      </c>
      <c r="D31" s="34"/>
      <c r="E31" s="34">
        <v>2.5000000000000001E-2</v>
      </c>
      <c r="F31" s="34">
        <v>9.622E-2</v>
      </c>
      <c r="G31" s="36">
        <v>94</v>
      </c>
      <c r="H31" s="37">
        <f t="shared" si="5"/>
        <v>3346.5315999999993</v>
      </c>
      <c r="I31" s="37">
        <f t="shared" si="6"/>
        <v>103.74247959999998</v>
      </c>
      <c r="J31" s="34">
        <v>3.1</v>
      </c>
      <c r="K31" s="34">
        <f>+LN(2)/(C31)</f>
        <v>6.5004893609673202E-3</v>
      </c>
    </row>
    <row r="32" spans="1:16" x14ac:dyDescent="0.25">
      <c r="A32" s="34" t="s">
        <v>12</v>
      </c>
      <c r="B32" s="34">
        <v>1173</v>
      </c>
      <c r="C32" s="34"/>
      <c r="D32" s="34">
        <v>5.2720000000000002</v>
      </c>
      <c r="E32" s="34">
        <v>1E-3</v>
      </c>
      <c r="F32" s="34">
        <v>5.101E-2</v>
      </c>
      <c r="G32" s="34">
        <v>99.86</v>
      </c>
      <c r="H32" s="37">
        <f t="shared" si="5"/>
        <v>1884.727682</v>
      </c>
      <c r="I32" s="37">
        <f t="shared" si="6"/>
        <v>58.426558142000005</v>
      </c>
      <c r="J32" s="34">
        <v>3.1</v>
      </c>
      <c r="K32" s="34">
        <f>+LN(2)/(365*D32)</f>
        <v>3.6021118577335171E-4</v>
      </c>
    </row>
    <row r="33" spans="1:11" x14ac:dyDescent="0.25">
      <c r="A33" s="34" t="s">
        <v>12</v>
      </c>
      <c r="B33" s="34">
        <v>1333</v>
      </c>
      <c r="C33" s="34"/>
      <c r="D33" s="34">
        <v>5.2720000000000002</v>
      </c>
      <c r="E33" s="34">
        <v>1E-3</v>
      </c>
      <c r="F33" s="34">
        <v>5.101E-2</v>
      </c>
      <c r="G33" s="34">
        <v>99.98</v>
      </c>
      <c r="H33" s="37">
        <f t="shared" si="5"/>
        <v>1886.992526</v>
      </c>
      <c r="I33" s="37">
        <f t="shared" si="6"/>
        <v>58.496768306000007</v>
      </c>
      <c r="J33" s="34">
        <v>3.1</v>
      </c>
      <c r="K33" s="34">
        <f>+LN(2)/(365*D33)</f>
        <v>3.6021118577335171E-4</v>
      </c>
    </row>
    <row r="34" spans="1:11" x14ac:dyDescent="0.25">
      <c r="A34" s="34" t="s">
        <v>11</v>
      </c>
      <c r="B34" s="34">
        <v>1836</v>
      </c>
      <c r="C34" s="34">
        <v>106.63</v>
      </c>
      <c r="D34" s="34"/>
      <c r="E34" s="34">
        <v>2.5000000000000001E-2</v>
      </c>
      <c r="F34" s="34">
        <v>9.622E-2</v>
      </c>
      <c r="G34" s="34">
        <v>99.4</v>
      </c>
      <c r="H34" s="37">
        <f t="shared" si="5"/>
        <v>3538.7791600000005</v>
      </c>
      <c r="I34" s="37">
        <f t="shared" si="6"/>
        <v>109.70215396000002</v>
      </c>
      <c r="J34" s="34">
        <v>3.1</v>
      </c>
      <c r="K34" s="34">
        <f>+LN(2)/(C34)</f>
        <v>6.5004893609673202E-3</v>
      </c>
    </row>
    <row r="36" spans="1:11" x14ac:dyDescent="0.25">
      <c r="A36" s="26" t="s">
        <v>23</v>
      </c>
      <c r="C36" t="s">
        <v>50</v>
      </c>
    </row>
    <row r="37" spans="1:11" x14ac:dyDescent="0.25">
      <c r="A37" s="26" t="s">
        <v>22</v>
      </c>
      <c r="B37" s="58">
        <v>42851</v>
      </c>
      <c r="C37" s="59"/>
    </row>
    <row r="38" spans="1:11" x14ac:dyDescent="0.25">
      <c r="A38" s="27" t="s">
        <v>39</v>
      </c>
      <c r="B38" s="59">
        <v>86400</v>
      </c>
      <c r="C38" s="59"/>
      <c r="D38" t="s">
        <v>38</v>
      </c>
    </row>
    <row r="39" spans="1:11" x14ac:dyDescent="0.25">
      <c r="A39" s="27" t="s">
        <v>40</v>
      </c>
      <c r="B39" s="60">
        <f>+B37-$B$21</f>
        <v>176</v>
      </c>
      <c r="C39" s="59"/>
      <c r="D39" t="s">
        <v>37</v>
      </c>
    </row>
    <row r="40" spans="1:11" x14ac:dyDescent="0.25">
      <c r="A40" s="25"/>
    </row>
    <row r="41" spans="1:11" ht="45" x14ac:dyDescent="0.25">
      <c r="A41" s="23" t="s">
        <v>21</v>
      </c>
      <c r="B41" s="24" t="s">
        <v>9</v>
      </c>
      <c r="C41" s="24" t="s">
        <v>10</v>
      </c>
      <c r="D41" s="1" t="s">
        <v>41</v>
      </c>
      <c r="E41" s="28" t="s">
        <v>42</v>
      </c>
      <c r="F41" s="29" t="s">
        <v>43</v>
      </c>
      <c r="G41" s="38"/>
    </row>
    <row r="42" spans="1:11" x14ac:dyDescent="0.25">
      <c r="A42" s="23" t="s">
        <v>20</v>
      </c>
      <c r="B42" s="22">
        <f>+H23*EXP(-K23*$B$39)</f>
        <v>391.43835390924983</v>
      </c>
      <c r="C42" s="21">
        <f>+$B$38*B42</f>
        <v>33820273.777759187</v>
      </c>
      <c r="D42" s="6">
        <f>+K7</f>
        <v>749400</v>
      </c>
      <c r="E42" s="4">
        <f>+B23</f>
        <v>60</v>
      </c>
      <c r="F42" s="30">
        <f>+D42/C42</f>
        <v>2.2158306728221069E-2</v>
      </c>
    </row>
    <row r="43" spans="1:11" x14ac:dyDescent="0.25">
      <c r="A43" s="23" t="s">
        <v>19</v>
      </c>
      <c r="B43" s="22">
        <f t="shared" ref="B43:B53" si="8">+H24*EXP(-K24*$B$39)</f>
        <v>279.29763014698369</v>
      </c>
      <c r="C43" s="21">
        <f t="shared" ref="C43:C53" si="9">+$B$38*B43</f>
        <v>24131315.244699392</v>
      </c>
      <c r="D43" s="6">
        <f t="shared" ref="D43:D53" si="10">+K8</f>
        <v>2058300</v>
      </c>
      <c r="E43" s="4">
        <f t="shared" ref="E43:E53" si="11">+B24</f>
        <v>88</v>
      </c>
      <c r="F43" s="30">
        <f t="shared" ref="F43:F53" si="12">+D43/C43</f>
        <v>8.5295806678093083E-2</v>
      </c>
    </row>
    <row r="44" spans="1:11" x14ac:dyDescent="0.25">
      <c r="A44" s="23" t="s">
        <v>18</v>
      </c>
      <c r="B44" s="22">
        <f t="shared" si="8"/>
        <v>206.0226916813757</v>
      </c>
      <c r="C44" s="21">
        <f t="shared" si="9"/>
        <v>17800360.561270859</v>
      </c>
      <c r="D44" s="6">
        <f t="shared" si="10"/>
        <v>1823200</v>
      </c>
      <c r="E44" s="4">
        <f t="shared" si="11"/>
        <v>122</v>
      </c>
      <c r="F44" s="30">
        <f t="shared" si="12"/>
        <v>0.10242489154780539</v>
      </c>
    </row>
    <row r="45" spans="1:11" x14ac:dyDescent="0.25">
      <c r="A45" s="23" t="s">
        <v>17</v>
      </c>
      <c r="B45" s="22">
        <f t="shared" si="8"/>
        <v>157.36983078707752</v>
      </c>
      <c r="C45" s="21">
        <f t="shared" si="9"/>
        <v>13596753.380003497</v>
      </c>
      <c r="D45" s="6">
        <f t="shared" si="10"/>
        <v>1401000</v>
      </c>
      <c r="E45" s="4">
        <f t="shared" si="11"/>
        <v>159</v>
      </c>
      <c r="F45" s="30">
        <f t="shared" si="12"/>
        <v>0.10303930363703043</v>
      </c>
    </row>
    <row r="46" spans="1:11" x14ac:dyDescent="0.25">
      <c r="A46" s="23" t="s">
        <v>16</v>
      </c>
      <c r="B46" s="22">
        <f t="shared" si="8"/>
        <v>15.131530462012869</v>
      </c>
      <c r="C46" s="21">
        <f t="shared" si="9"/>
        <v>1307364.2319179119</v>
      </c>
      <c r="D46" s="6">
        <f t="shared" si="10"/>
        <v>74900</v>
      </c>
      <c r="E46" s="4">
        <f t="shared" si="11"/>
        <v>320</v>
      </c>
      <c r="F46" s="30">
        <f t="shared" si="12"/>
        <v>5.7290843799605265E-2</v>
      </c>
    </row>
    <row r="47" spans="1:11" x14ac:dyDescent="0.25">
      <c r="A47" s="23" t="s">
        <v>15</v>
      </c>
      <c r="B47" s="22">
        <f t="shared" si="8"/>
        <v>425.04588770048338</v>
      </c>
      <c r="C47" s="21">
        <f t="shared" si="9"/>
        <v>36723964.697321765</v>
      </c>
      <c r="D47" s="6">
        <f t="shared" si="10"/>
        <v>2573200</v>
      </c>
      <c r="E47" s="4">
        <f t="shared" si="11"/>
        <v>392</v>
      </c>
      <c r="F47" s="30">
        <f t="shared" si="12"/>
        <v>7.0068687332870153E-2</v>
      </c>
    </row>
    <row r="48" spans="1:11" x14ac:dyDescent="0.25">
      <c r="A48" s="23" t="s">
        <v>14</v>
      </c>
      <c r="B48" s="22">
        <f t="shared" si="8"/>
        <v>342.41897593177168</v>
      </c>
      <c r="C48" s="21">
        <f t="shared" si="9"/>
        <v>29584999.520505074</v>
      </c>
      <c r="D48" s="6">
        <f t="shared" si="10"/>
        <v>1823200</v>
      </c>
      <c r="E48" s="4">
        <f t="shared" si="11"/>
        <v>514</v>
      </c>
      <c r="F48" s="30">
        <f t="shared" si="12"/>
        <v>6.1625824896037532E-2</v>
      </c>
    </row>
    <row r="49" spans="1:6" x14ac:dyDescent="0.25">
      <c r="A49" s="23" t="s">
        <v>13</v>
      </c>
      <c r="B49" s="22">
        <f t="shared" si="8"/>
        <v>1346.8095476647704</v>
      </c>
      <c r="C49" s="21">
        <f t="shared" si="9"/>
        <v>116364344.91823617</v>
      </c>
      <c r="D49" s="6">
        <f t="shared" si="10"/>
        <v>6157400</v>
      </c>
      <c r="E49" s="4">
        <f t="shared" si="11"/>
        <v>662</v>
      </c>
      <c r="F49" s="30">
        <f t="shared" si="12"/>
        <v>5.291483404410964E-2</v>
      </c>
    </row>
    <row r="50" spans="1:6" x14ac:dyDescent="0.25">
      <c r="A50" s="23" t="s">
        <v>11</v>
      </c>
      <c r="B50" s="22">
        <f t="shared" si="8"/>
        <v>1065.9200667925545</v>
      </c>
      <c r="C50" s="21">
        <f t="shared" si="9"/>
        <v>92095493.770876706</v>
      </c>
      <c r="D50" s="6">
        <f t="shared" si="10"/>
        <v>3554700</v>
      </c>
      <c r="E50" s="4">
        <f t="shared" si="11"/>
        <v>898</v>
      </c>
      <c r="F50" s="30">
        <f t="shared" si="12"/>
        <v>3.8597979710534983E-2</v>
      </c>
    </row>
    <row r="51" spans="1:6" x14ac:dyDescent="0.25">
      <c r="A51" s="23" t="s">
        <v>12</v>
      </c>
      <c r="B51" s="22">
        <f t="shared" si="8"/>
        <v>1768.9500455738714</v>
      </c>
      <c r="C51" s="21">
        <f t="shared" si="9"/>
        <v>152837283.93758249</v>
      </c>
      <c r="D51" s="6">
        <f t="shared" si="10"/>
        <v>5069910</v>
      </c>
      <c r="E51" s="4">
        <f t="shared" si="11"/>
        <v>1173</v>
      </c>
      <c r="F51" s="30">
        <f t="shared" si="12"/>
        <v>3.3171945152273903E-2</v>
      </c>
    </row>
    <row r="52" spans="1:6" x14ac:dyDescent="0.25">
      <c r="A52" s="23" t="s">
        <v>12</v>
      </c>
      <c r="B52" s="22">
        <f t="shared" si="8"/>
        <v>1771.0757616310402</v>
      </c>
      <c r="C52" s="21">
        <f t="shared" si="9"/>
        <v>153020945.80492187</v>
      </c>
      <c r="D52" s="6">
        <f t="shared" si="10"/>
        <v>4788280</v>
      </c>
      <c r="E52" s="4">
        <f t="shared" si="11"/>
        <v>1333</v>
      </c>
      <c r="F52" s="30">
        <f t="shared" si="12"/>
        <v>3.1291663862176876E-2</v>
      </c>
    </row>
    <row r="53" spans="1:6" x14ac:dyDescent="0.25">
      <c r="A53" s="23" t="s">
        <v>11</v>
      </c>
      <c r="B53" s="22">
        <f t="shared" si="8"/>
        <v>1127.1537727572336</v>
      </c>
      <c r="C53" s="21">
        <f t="shared" si="9"/>
        <v>97386085.966224983</v>
      </c>
      <c r="D53" s="6">
        <f t="shared" si="10"/>
        <v>2462790</v>
      </c>
      <c r="E53" s="4">
        <f t="shared" si="11"/>
        <v>1836</v>
      </c>
      <c r="F53" s="30">
        <f t="shared" si="12"/>
        <v>2.5288930914156814E-2</v>
      </c>
    </row>
  </sheetData>
  <mergeCells count="4">
    <mergeCell ref="A1:N2"/>
    <mergeCell ref="B37:C37"/>
    <mergeCell ref="B38:C38"/>
    <mergeCell ref="B39:C39"/>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zoomScale="85" zoomScaleNormal="85" workbookViewId="0">
      <selection activeCell="D42" sqref="D42:D53"/>
    </sheetView>
  </sheetViews>
  <sheetFormatPr defaultRowHeight="15" x14ac:dyDescent="0.25"/>
  <cols>
    <col min="3" max="3" width="12" customWidth="1"/>
    <col min="4" max="4" width="10.7109375" bestFit="1" customWidth="1"/>
    <col min="9" max="9" width="10.5703125" bestFit="1" customWidth="1"/>
    <col min="10" max="10" width="11.140625" customWidth="1"/>
    <col min="11" max="12" width="10.5703125" bestFit="1" customWidth="1"/>
  </cols>
  <sheetData>
    <row r="1" spans="1:17" x14ac:dyDescent="0.25">
      <c r="A1" s="57" t="s">
        <v>35</v>
      </c>
      <c r="B1" s="57"/>
      <c r="C1" s="57"/>
      <c r="D1" s="57"/>
      <c r="E1" s="57"/>
      <c r="F1" s="57"/>
      <c r="G1" s="57"/>
      <c r="H1" s="57"/>
      <c r="I1" s="57"/>
      <c r="J1" s="57"/>
      <c r="K1" s="57"/>
      <c r="L1" s="57"/>
      <c r="M1" s="57"/>
      <c r="N1" s="57"/>
    </row>
    <row r="2" spans="1:17" x14ac:dyDescent="0.25">
      <c r="A2" s="57"/>
      <c r="B2" s="57"/>
      <c r="C2" s="57"/>
      <c r="D2" s="57"/>
      <c r="E2" s="57"/>
      <c r="F2" s="57"/>
      <c r="G2" s="57"/>
      <c r="H2" s="57"/>
      <c r="I2" s="57"/>
      <c r="J2" s="57"/>
      <c r="K2" s="57"/>
      <c r="L2" s="57"/>
      <c r="M2" s="57"/>
      <c r="N2" s="57"/>
    </row>
    <row r="4" spans="1:17" ht="15.75" thickBot="1" x14ac:dyDescent="0.3"/>
    <row r="5" spans="1:17" x14ac:dyDescent="0.25">
      <c r="A5" s="9" t="s">
        <v>8</v>
      </c>
      <c r="B5" s="10"/>
      <c r="C5" s="10"/>
      <c r="D5" s="10"/>
      <c r="E5" s="10"/>
      <c r="F5" s="10"/>
      <c r="G5" s="10"/>
      <c r="H5" s="10"/>
      <c r="I5" s="10"/>
      <c r="J5" s="10"/>
      <c r="K5" s="10"/>
      <c r="L5" s="10"/>
      <c r="M5" s="10"/>
      <c r="N5" s="11"/>
    </row>
    <row r="6" spans="1:17" ht="45" x14ac:dyDescent="0.25">
      <c r="A6" s="12" t="s">
        <v>0</v>
      </c>
      <c r="B6" s="2" t="s">
        <v>3</v>
      </c>
      <c r="C6" s="1" t="s">
        <v>5</v>
      </c>
      <c r="D6" s="2" t="s">
        <v>4</v>
      </c>
      <c r="E6" s="1" t="s">
        <v>6</v>
      </c>
      <c r="F6" s="1" t="s">
        <v>7</v>
      </c>
      <c r="G6" s="3" t="s">
        <v>1</v>
      </c>
      <c r="H6" s="3" t="s">
        <v>2</v>
      </c>
      <c r="I6" s="1" t="s">
        <v>49</v>
      </c>
      <c r="J6" s="1" t="s">
        <v>48</v>
      </c>
      <c r="K6" s="44" t="s">
        <v>45</v>
      </c>
      <c r="L6" s="44" t="s">
        <v>46</v>
      </c>
      <c r="M6" s="45" t="s">
        <v>47</v>
      </c>
      <c r="N6" s="31" t="s">
        <v>44</v>
      </c>
      <c r="O6" s="7"/>
      <c r="P6" s="7"/>
      <c r="Q6" s="8"/>
    </row>
    <row r="7" spans="1:17" x14ac:dyDescent="0.25">
      <c r="A7" s="13">
        <v>60</v>
      </c>
      <c r="B7" s="5">
        <v>188</v>
      </c>
      <c r="C7" s="4">
        <v>6757</v>
      </c>
      <c r="D7" s="5">
        <v>281</v>
      </c>
      <c r="E7" s="4">
        <v>6087</v>
      </c>
      <c r="F7" s="4">
        <f>+D7-B7+1</f>
        <v>94</v>
      </c>
      <c r="G7" s="3">
        <v>-7.2039999999999997</v>
      </c>
      <c r="H7" s="3">
        <v>8111</v>
      </c>
      <c r="I7" s="6">
        <f>9.0697*10^5</f>
        <v>906969.99999999988</v>
      </c>
      <c r="J7" s="6">
        <f>6.0364*10^5</f>
        <v>603640</v>
      </c>
      <c r="K7" s="46">
        <f>+I7-J7</f>
        <v>303329.99999999988</v>
      </c>
      <c r="L7" s="46">
        <f>+SQRT(I7+J7)</f>
        <v>1229.0687531623282</v>
      </c>
      <c r="M7" s="45">
        <f>100*L7/K7</f>
        <v>0.4051919537013578</v>
      </c>
      <c r="N7" s="14">
        <f>+K7/86400</f>
        <v>3.5107638888888877</v>
      </c>
    </row>
    <row r="8" spans="1:17" x14ac:dyDescent="0.25">
      <c r="A8" s="13">
        <v>88</v>
      </c>
      <c r="B8" s="5">
        <v>285</v>
      </c>
      <c r="C8" s="4">
        <v>5855</v>
      </c>
      <c r="D8" s="5">
        <v>410</v>
      </c>
      <c r="E8" s="4">
        <v>5615</v>
      </c>
      <c r="F8" s="4">
        <f t="shared" ref="F8:F18" si="0">+D8-B8+1</f>
        <v>126</v>
      </c>
      <c r="G8" s="3">
        <v>-1.92</v>
      </c>
      <c r="H8" s="3">
        <v>6402</v>
      </c>
      <c r="I8" s="6">
        <f>1.3475*10^6</f>
        <v>1347500</v>
      </c>
      <c r="J8" s="6">
        <f>7.2258*10^5</f>
        <v>722580</v>
      </c>
      <c r="K8" s="46">
        <f t="shared" ref="K8:K18" si="1">+I8-J8</f>
        <v>624920</v>
      </c>
      <c r="L8" s="46">
        <f t="shared" ref="L8:L18" si="2">+SQRT(I8+J8)</f>
        <v>1438.7772586470778</v>
      </c>
      <c r="M8" s="45">
        <f t="shared" ref="M8:M18" si="3">100*L8/K8</f>
        <v>0.23023383131394065</v>
      </c>
      <c r="N8" s="14">
        <f t="shared" ref="N8:N18" si="4">+K8/86400</f>
        <v>7.2328703703703701</v>
      </c>
    </row>
    <row r="9" spans="1:17" x14ac:dyDescent="0.25">
      <c r="A9" s="13">
        <v>122</v>
      </c>
      <c r="B9" s="5">
        <v>419</v>
      </c>
      <c r="C9" s="4">
        <v>5798</v>
      </c>
      <c r="D9" s="5">
        <v>545</v>
      </c>
      <c r="E9" s="4">
        <v>5855</v>
      </c>
      <c r="F9" s="4">
        <f t="shared" si="0"/>
        <v>127</v>
      </c>
      <c r="G9" s="3">
        <v>0.45240000000000002</v>
      </c>
      <c r="H9" s="3">
        <v>5608</v>
      </c>
      <c r="I9" s="6">
        <f>1.2122*10^6</f>
        <v>1212200</v>
      </c>
      <c r="J9" s="6">
        <f>7.3991*10^5</f>
        <v>739910</v>
      </c>
      <c r="K9" s="46">
        <f t="shared" si="1"/>
        <v>472290</v>
      </c>
      <c r="L9" s="46">
        <f t="shared" si="2"/>
        <v>1397.1793013067436</v>
      </c>
      <c r="M9" s="45">
        <f t="shared" si="3"/>
        <v>0.29583080338494222</v>
      </c>
      <c r="N9" s="14">
        <f t="shared" si="4"/>
        <v>5.4663194444444443</v>
      </c>
    </row>
    <row r="10" spans="1:17" x14ac:dyDescent="0.25">
      <c r="A10" s="13">
        <v>159</v>
      </c>
      <c r="B10" s="5">
        <v>606</v>
      </c>
      <c r="C10" s="4">
        <v>5358</v>
      </c>
      <c r="D10" s="5">
        <v>706</v>
      </c>
      <c r="E10" s="4">
        <v>5336</v>
      </c>
      <c r="F10" s="4">
        <f t="shared" si="0"/>
        <v>101</v>
      </c>
      <c r="G10" s="3">
        <v>-0.22</v>
      </c>
      <c r="H10" s="3">
        <v>5491</v>
      </c>
      <c r="I10" s="6">
        <f>9.0621*10^5</f>
        <v>906209.99999999988</v>
      </c>
      <c r="J10" s="6">
        <f>5.4001*10^5</f>
        <v>540010</v>
      </c>
      <c r="K10" s="46">
        <f t="shared" si="1"/>
        <v>366199.99999999988</v>
      </c>
      <c r="L10" s="46">
        <f t="shared" si="2"/>
        <v>1202.5888740546372</v>
      </c>
      <c r="M10" s="45">
        <f t="shared" si="3"/>
        <v>0.32839674332458701</v>
      </c>
      <c r="N10" s="14">
        <f t="shared" si="4"/>
        <v>4.2384259259259247</v>
      </c>
    </row>
    <row r="11" spans="1:17" x14ac:dyDescent="0.25">
      <c r="A11" s="13">
        <v>320</v>
      </c>
      <c r="B11" s="5">
        <v>1304</v>
      </c>
      <c r="C11" s="4">
        <v>4364</v>
      </c>
      <c r="D11" s="5">
        <v>1362</v>
      </c>
      <c r="E11" s="4">
        <v>4153</v>
      </c>
      <c r="F11" s="4">
        <f t="shared" si="0"/>
        <v>59</v>
      </c>
      <c r="G11" s="3">
        <v>-3.6379999999999999</v>
      </c>
      <c r="H11" s="3">
        <v>9108</v>
      </c>
      <c r="I11" s="6">
        <f>2.7437*10^5</f>
        <v>274370</v>
      </c>
      <c r="J11" s="6">
        <f>2.5125*10^5</f>
        <v>251250.00000000003</v>
      </c>
      <c r="K11" s="46">
        <f t="shared" si="1"/>
        <v>23119.999999999971</v>
      </c>
      <c r="L11" s="46">
        <f t="shared" si="2"/>
        <v>724.99655171593747</v>
      </c>
      <c r="M11" s="45">
        <f t="shared" si="3"/>
        <v>3.1357982340654775</v>
      </c>
      <c r="N11" s="14">
        <f t="shared" si="4"/>
        <v>0.26759259259259227</v>
      </c>
    </row>
    <row r="12" spans="1:17" x14ac:dyDescent="0.25">
      <c r="A12" s="13">
        <v>392</v>
      </c>
      <c r="B12" s="5">
        <v>1566</v>
      </c>
      <c r="C12" s="4">
        <v>3754</v>
      </c>
      <c r="D12" s="5">
        <v>1681</v>
      </c>
      <c r="E12" s="4">
        <v>3457</v>
      </c>
      <c r="F12" s="4">
        <f t="shared" si="0"/>
        <v>116</v>
      </c>
      <c r="G12" s="3">
        <v>-2.5830000000000002</v>
      </c>
      <c r="H12" s="3">
        <v>7798</v>
      </c>
      <c r="I12" s="6">
        <f>1.0588*10^6</f>
        <v>1058800</v>
      </c>
      <c r="J12" s="6">
        <f>4.1812*10^5</f>
        <v>418119.99999999994</v>
      </c>
      <c r="K12" s="46">
        <f t="shared" si="1"/>
        <v>640680</v>
      </c>
      <c r="L12" s="46">
        <f t="shared" si="2"/>
        <v>1215.2859745755318</v>
      </c>
      <c r="M12" s="45">
        <f t="shared" si="3"/>
        <v>0.18968689120552096</v>
      </c>
      <c r="N12" s="14">
        <f t="shared" si="4"/>
        <v>7.4152777777777779</v>
      </c>
    </row>
    <row r="13" spans="1:17" x14ac:dyDescent="0.25">
      <c r="A13" s="13">
        <v>514</v>
      </c>
      <c r="B13" s="5">
        <v>2082</v>
      </c>
      <c r="C13" s="4">
        <v>3048</v>
      </c>
      <c r="D13" s="5">
        <v>2195</v>
      </c>
      <c r="E13" s="4">
        <v>2649</v>
      </c>
      <c r="F13" s="4">
        <f t="shared" si="0"/>
        <v>114</v>
      </c>
      <c r="G13" s="3">
        <v>-3.5310000000000001</v>
      </c>
      <c r="H13" s="3">
        <v>10400</v>
      </c>
      <c r="I13" s="6">
        <f>7.869*10^5</f>
        <v>786900</v>
      </c>
      <c r="J13" s="6">
        <f>3.2478*10^5</f>
        <v>324780</v>
      </c>
      <c r="K13" s="46">
        <f t="shared" si="1"/>
        <v>462120</v>
      </c>
      <c r="L13" s="46">
        <f t="shared" si="2"/>
        <v>1054.3623665514622</v>
      </c>
      <c r="M13" s="45">
        <f t="shared" si="3"/>
        <v>0.22815770071658059</v>
      </c>
      <c r="N13" s="14">
        <f t="shared" si="4"/>
        <v>5.3486111111111114</v>
      </c>
    </row>
    <row r="14" spans="1:17" x14ac:dyDescent="0.25">
      <c r="A14" s="13">
        <v>662</v>
      </c>
      <c r="B14" s="5">
        <v>2675</v>
      </c>
      <c r="C14" s="4">
        <v>2714</v>
      </c>
      <c r="D14" s="5">
        <v>2808</v>
      </c>
      <c r="E14" s="4">
        <v>2702</v>
      </c>
      <c r="F14" s="4">
        <f t="shared" si="0"/>
        <v>134</v>
      </c>
      <c r="G14" s="3">
        <v>-9.0230000000000005E-2</v>
      </c>
      <c r="H14" s="3">
        <v>2955</v>
      </c>
      <c r="I14" s="6">
        <f>1.8262*10^6</f>
        <v>1826200</v>
      </c>
      <c r="J14" s="6">
        <f>3.6282*10^5</f>
        <v>362820</v>
      </c>
      <c r="K14" s="46">
        <f t="shared" si="1"/>
        <v>1463380</v>
      </c>
      <c r="L14" s="46">
        <f t="shared" si="2"/>
        <v>1479.5337103290346</v>
      </c>
      <c r="M14" s="45">
        <f t="shared" si="3"/>
        <v>0.10110386299724164</v>
      </c>
      <c r="N14" s="14">
        <f t="shared" si="4"/>
        <v>16.937268518518518</v>
      </c>
    </row>
    <row r="15" spans="1:17" x14ac:dyDescent="0.25">
      <c r="A15" s="13">
        <v>898</v>
      </c>
      <c r="B15" s="5">
        <v>3666</v>
      </c>
      <c r="C15" s="4">
        <v>2202</v>
      </c>
      <c r="D15" s="5">
        <v>3795</v>
      </c>
      <c r="E15" s="4">
        <v>2287</v>
      </c>
      <c r="F15" s="4">
        <f t="shared" si="0"/>
        <v>130</v>
      </c>
      <c r="G15" s="3">
        <v>0.65890000000000004</v>
      </c>
      <c r="H15" s="3">
        <v>-213.6</v>
      </c>
      <c r="I15" s="6">
        <f>1.2653*10^6</f>
        <v>1265300</v>
      </c>
      <c r="J15" s="6">
        <f>2.9178*10^5</f>
        <v>291780</v>
      </c>
      <c r="K15" s="46">
        <f t="shared" si="1"/>
        <v>973520</v>
      </c>
      <c r="L15" s="46">
        <f t="shared" si="2"/>
        <v>1247.830116642486</v>
      </c>
      <c r="M15" s="45">
        <f t="shared" si="3"/>
        <v>0.12817714239486461</v>
      </c>
      <c r="N15" s="14">
        <f t="shared" si="4"/>
        <v>11.267592592592592</v>
      </c>
    </row>
    <row r="16" spans="1:17" x14ac:dyDescent="0.25">
      <c r="A16" s="13">
        <v>1173</v>
      </c>
      <c r="B16" s="5">
        <v>4820</v>
      </c>
      <c r="C16" s="4">
        <v>1274</v>
      </c>
      <c r="D16" s="5">
        <v>4953</v>
      </c>
      <c r="E16" s="4">
        <v>743.3</v>
      </c>
      <c r="F16" s="4">
        <f t="shared" si="0"/>
        <v>134</v>
      </c>
      <c r="G16" s="3">
        <v>-3.99</v>
      </c>
      <c r="H16" s="3">
        <v>20510</v>
      </c>
      <c r="I16" s="6">
        <f>1.5025*10^6</f>
        <v>1502500</v>
      </c>
      <c r="J16" s="6">
        <f>1.3572*10^5</f>
        <v>135720</v>
      </c>
      <c r="K16" s="46">
        <f t="shared" si="1"/>
        <v>1366780</v>
      </c>
      <c r="L16" s="46">
        <f t="shared" si="2"/>
        <v>1279.9296855687035</v>
      </c>
      <c r="M16" s="45">
        <f t="shared" si="3"/>
        <v>9.3645625892148213E-2</v>
      </c>
      <c r="N16" s="14">
        <f t="shared" si="4"/>
        <v>15.819212962962963</v>
      </c>
    </row>
    <row r="17" spans="1:14" x14ac:dyDescent="0.25">
      <c r="A17" s="13">
        <v>1333</v>
      </c>
      <c r="B17" s="5">
        <v>5452</v>
      </c>
      <c r="C17" s="4">
        <v>527</v>
      </c>
      <c r="D17" s="5">
        <v>5622</v>
      </c>
      <c r="E17" s="4">
        <v>373.7</v>
      </c>
      <c r="F17" s="4">
        <f t="shared" si="0"/>
        <v>171</v>
      </c>
      <c r="G17" s="3">
        <v>-0.90180000000000005</v>
      </c>
      <c r="H17" s="3">
        <v>5443</v>
      </c>
      <c r="I17" s="6">
        <f>1.3638*10^6</f>
        <v>1363800</v>
      </c>
      <c r="J17" s="6">
        <f>7.6904*10^4</f>
        <v>76904</v>
      </c>
      <c r="K17" s="46">
        <f t="shared" si="1"/>
        <v>1286896</v>
      </c>
      <c r="L17" s="46">
        <f t="shared" si="2"/>
        <v>1200.2932974902426</v>
      </c>
      <c r="M17" s="45">
        <f t="shared" si="3"/>
        <v>9.3270419481468789E-2</v>
      </c>
      <c r="N17" s="14">
        <f t="shared" si="4"/>
        <v>14.89462962962963</v>
      </c>
    </row>
    <row r="18" spans="1:14" ht="15.75" thickBot="1" x14ac:dyDescent="0.3">
      <c r="A18" s="15">
        <v>1836</v>
      </c>
      <c r="B18" s="16">
        <v>7532</v>
      </c>
      <c r="C18" s="17">
        <v>104.4</v>
      </c>
      <c r="D18" s="16">
        <v>7727</v>
      </c>
      <c r="E18" s="17">
        <v>38.57</v>
      </c>
      <c r="F18" s="17">
        <f t="shared" si="0"/>
        <v>196</v>
      </c>
      <c r="G18" s="18">
        <v>-0.33760000000000001</v>
      </c>
      <c r="H18" s="18">
        <v>2647</v>
      </c>
      <c r="I18" s="19">
        <f>6.7418*10^5</f>
        <v>674180</v>
      </c>
      <c r="J18" s="19">
        <f>1.3971*10^4</f>
        <v>13971</v>
      </c>
      <c r="K18" s="47">
        <f t="shared" si="1"/>
        <v>660209</v>
      </c>
      <c r="L18" s="47">
        <f t="shared" si="2"/>
        <v>829.54867247196535</v>
      </c>
      <c r="M18" s="48">
        <f t="shared" si="3"/>
        <v>0.125649403820906</v>
      </c>
      <c r="N18" s="20">
        <f t="shared" si="4"/>
        <v>7.6413078703703707</v>
      </c>
    </row>
    <row r="21" spans="1:14" x14ac:dyDescent="0.25">
      <c r="A21" s="32" t="s">
        <v>34</v>
      </c>
      <c r="B21" s="33">
        <v>42675</v>
      </c>
      <c r="C21" s="32"/>
      <c r="D21" s="32"/>
      <c r="E21" s="32"/>
      <c r="F21" s="32"/>
      <c r="G21" s="32"/>
      <c r="H21" s="32"/>
      <c r="I21" s="32"/>
      <c r="J21" s="32"/>
      <c r="K21" s="32"/>
    </row>
    <row r="22" spans="1:14" ht="60" x14ac:dyDescent="0.25">
      <c r="A22" s="34" t="s">
        <v>21</v>
      </c>
      <c r="B22" s="35" t="s">
        <v>33</v>
      </c>
      <c r="C22" s="35" t="s">
        <v>32</v>
      </c>
      <c r="D22" s="35" t="s">
        <v>31</v>
      </c>
      <c r="E22" s="35" t="s">
        <v>30</v>
      </c>
      <c r="F22" s="35" t="s">
        <v>29</v>
      </c>
      <c r="G22" s="35" t="s">
        <v>28</v>
      </c>
      <c r="H22" s="35" t="s">
        <v>27</v>
      </c>
      <c r="I22" s="35" t="s">
        <v>26</v>
      </c>
      <c r="J22" s="35" t="s">
        <v>25</v>
      </c>
      <c r="K22" s="35" t="s">
        <v>24</v>
      </c>
    </row>
    <row r="23" spans="1:14" x14ac:dyDescent="0.25">
      <c r="A23" s="34" t="s">
        <v>20</v>
      </c>
      <c r="B23" s="34">
        <v>60</v>
      </c>
      <c r="C23" s="34"/>
      <c r="D23" s="34">
        <v>432.17</v>
      </c>
      <c r="E23" s="34">
        <v>0.66</v>
      </c>
      <c r="F23" s="34">
        <v>2.9409999999999999E-2</v>
      </c>
      <c r="G23" s="36">
        <v>36</v>
      </c>
      <c r="H23" s="36">
        <f t="shared" ref="H23:H34" si="5">+F23*(G23/100)*37*10^9/10^6</f>
        <v>391.74119999999994</v>
      </c>
      <c r="I23" s="37">
        <f t="shared" ref="I23:I34" si="6">+H23*J23/100</f>
        <v>12.1439772</v>
      </c>
      <c r="J23" s="34">
        <v>3.1</v>
      </c>
      <c r="K23" s="34">
        <f>+LN(2)/(365*D23)</f>
        <v>4.3941813901869866E-6</v>
      </c>
    </row>
    <row r="24" spans="1:14" x14ac:dyDescent="0.25">
      <c r="A24" s="34" t="s">
        <v>19</v>
      </c>
      <c r="B24" s="34">
        <v>88</v>
      </c>
      <c r="C24" s="34">
        <v>462.6</v>
      </c>
      <c r="D24" s="34"/>
      <c r="E24" s="34">
        <v>0.7</v>
      </c>
      <c r="F24" s="34">
        <v>0.2707</v>
      </c>
      <c r="G24" s="34">
        <v>3.63</v>
      </c>
      <c r="H24" s="36">
        <f t="shared" si="5"/>
        <v>363.57716999999997</v>
      </c>
      <c r="I24" s="37">
        <f t="shared" si="6"/>
        <v>11.270892269999999</v>
      </c>
      <c r="J24" s="34">
        <v>3.1</v>
      </c>
      <c r="K24" s="34">
        <f t="shared" ref="K24:K29" si="7">+LN(2)/(C24)</f>
        <v>1.4983726341546589E-3</v>
      </c>
    </row>
    <row r="25" spans="1:14" x14ac:dyDescent="0.25">
      <c r="A25" s="34" t="s">
        <v>18</v>
      </c>
      <c r="B25" s="34">
        <v>122</v>
      </c>
      <c r="C25" s="34">
        <v>271.79000000000002</v>
      </c>
      <c r="D25" s="34"/>
      <c r="E25" s="34">
        <v>0.09</v>
      </c>
      <c r="F25" s="34">
        <v>1.0189999999999999E-2</v>
      </c>
      <c r="G25" s="34">
        <v>85.6</v>
      </c>
      <c r="H25" s="36">
        <f t="shared" si="5"/>
        <v>322.73768000000001</v>
      </c>
      <c r="I25" s="37">
        <f t="shared" si="6"/>
        <v>10.327605760000001</v>
      </c>
      <c r="J25" s="34">
        <v>3.2</v>
      </c>
      <c r="K25" s="34">
        <f t="shared" si="7"/>
        <v>2.5503042075129519E-3</v>
      </c>
    </row>
    <row r="26" spans="1:14" x14ac:dyDescent="0.25">
      <c r="A26" s="34" t="s">
        <v>17</v>
      </c>
      <c r="B26" s="34">
        <v>159</v>
      </c>
      <c r="C26" s="34">
        <v>119.7</v>
      </c>
      <c r="D26" s="34"/>
      <c r="E26" s="34">
        <v>0.1</v>
      </c>
      <c r="F26" s="34">
        <v>1.4030000000000001E-2</v>
      </c>
      <c r="G26" s="36">
        <v>84</v>
      </c>
      <c r="H26" s="36">
        <f t="shared" si="5"/>
        <v>436.05239999999998</v>
      </c>
      <c r="I26" s="37">
        <f t="shared" si="6"/>
        <v>13.9536768</v>
      </c>
      <c r="J26" s="34">
        <v>3.2</v>
      </c>
      <c r="K26" s="34">
        <f t="shared" si="7"/>
        <v>5.7907032628232687E-3</v>
      </c>
    </row>
    <row r="27" spans="1:14" x14ac:dyDescent="0.25">
      <c r="A27" s="34" t="s">
        <v>16</v>
      </c>
      <c r="B27" s="34">
        <v>320</v>
      </c>
      <c r="C27" s="34">
        <v>27.706</v>
      </c>
      <c r="D27" s="34"/>
      <c r="E27" s="34">
        <v>7.0000000000000001E-3</v>
      </c>
      <c r="F27" s="34">
        <v>0.33889999999999998</v>
      </c>
      <c r="G27" s="34">
        <v>9.86</v>
      </c>
      <c r="H27" s="37">
        <f t="shared" si="5"/>
        <v>1236.3749799999998</v>
      </c>
      <c r="I27" s="37">
        <f t="shared" si="6"/>
        <v>38.327624379999996</v>
      </c>
      <c r="J27" s="34">
        <v>3.1</v>
      </c>
      <c r="K27" s="34">
        <f t="shared" si="7"/>
        <v>2.5017944869701339E-2</v>
      </c>
    </row>
    <row r="28" spans="1:14" x14ac:dyDescent="0.25">
      <c r="A28" s="34" t="s">
        <v>15</v>
      </c>
      <c r="B28" s="34">
        <v>392</v>
      </c>
      <c r="C28" s="34">
        <v>115.09</v>
      </c>
      <c r="D28" s="34"/>
      <c r="E28" s="34">
        <v>0.04</v>
      </c>
      <c r="F28" s="34">
        <v>5.1090000000000003E-2</v>
      </c>
      <c r="G28" s="34">
        <v>64.900000000000006</v>
      </c>
      <c r="H28" s="37">
        <f t="shared" si="5"/>
        <v>1226.8241700000003</v>
      </c>
      <c r="I28" s="37">
        <f t="shared" si="6"/>
        <v>38.031549270000006</v>
      </c>
      <c r="J28" s="34">
        <v>3.1</v>
      </c>
      <c r="K28" s="34">
        <f t="shared" si="7"/>
        <v>6.022653406550919E-3</v>
      </c>
    </row>
    <row r="29" spans="1:14" x14ac:dyDescent="0.25">
      <c r="A29" s="34" t="s">
        <v>14</v>
      </c>
      <c r="B29" s="34">
        <v>514</v>
      </c>
      <c r="C29" s="34">
        <v>64.849000000000004</v>
      </c>
      <c r="D29" s="34"/>
      <c r="E29" s="34">
        <v>4.0000000000000001E-3</v>
      </c>
      <c r="F29" s="34">
        <v>6.1710000000000001E-2</v>
      </c>
      <c r="G29" s="34">
        <v>98.4</v>
      </c>
      <c r="H29" s="37">
        <f t="shared" si="5"/>
        <v>2246.7376800000006</v>
      </c>
      <c r="I29" s="37">
        <f t="shared" si="6"/>
        <v>69.648868080000014</v>
      </c>
      <c r="J29" s="34">
        <v>3.1</v>
      </c>
      <c r="K29" s="34">
        <f t="shared" si="7"/>
        <v>1.0688633295192604E-2</v>
      </c>
    </row>
    <row r="30" spans="1:14" x14ac:dyDescent="0.25">
      <c r="A30" s="34" t="s">
        <v>13</v>
      </c>
      <c r="B30" s="34">
        <v>662</v>
      </c>
      <c r="C30" s="34"/>
      <c r="D30" s="34">
        <v>30.17</v>
      </c>
      <c r="E30" s="34">
        <v>0.16</v>
      </c>
      <c r="F30" s="34">
        <v>4.3249999999999997E-2</v>
      </c>
      <c r="G30" s="34">
        <v>85.1</v>
      </c>
      <c r="H30" s="37">
        <f t="shared" si="5"/>
        <v>1361.8127500000001</v>
      </c>
      <c r="I30" s="37">
        <f t="shared" si="6"/>
        <v>42.216195249999998</v>
      </c>
      <c r="J30" s="34">
        <v>3.1</v>
      </c>
      <c r="K30" s="34">
        <f>+LN(2)/(365*D30)</f>
        <v>6.294442729191615E-5</v>
      </c>
    </row>
    <row r="31" spans="1:14" x14ac:dyDescent="0.25">
      <c r="A31" s="34" t="s">
        <v>11</v>
      </c>
      <c r="B31" s="34">
        <v>898</v>
      </c>
      <c r="C31" s="34">
        <v>106.63</v>
      </c>
      <c r="D31" s="34"/>
      <c r="E31" s="34">
        <v>2.5000000000000001E-2</v>
      </c>
      <c r="F31" s="34">
        <v>9.622E-2</v>
      </c>
      <c r="G31" s="36">
        <v>94</v>
      </c>
      <c r="H31" s="37">
        <f t="shared" si="5"/>
        <v>3346.5315999999993</v>
      </c>
      <c r="I31" s="37">
        <f t="shared" si="6"/>
        <v>103.74247959999998</v>
      </c>
      <c r="J31" s="34">
        <v>3.1</v>
      </c>
      <c r="K31" s="34">
        <f>+LN(2)/(C31)</f>
        <v>6.5004893609673202E-3</v>
      </c>
    </row>
    <row r="32" spans="1:14" x14ac:dyDescent="0.25">
      <c r="A32" s="34" t="s">
        <v>12</v>
      </c>
      <c r="B32" s="34">
        <v>1173</v>
      </c>
      <c r="C32" s="34"/>
      <c r="D32" s="34">
        <v>5.2720000000000002</v>
      </c>
      <c r="E32" s="34">
        <v>1E-3</v>
      </c>
      <c r="F32" s="34">
        <v>5.101E-2</v>
      </c>
      <c r="G32" s="34">
        <v>99.86</v>
      </c>
      <c r="H32" s="37">
        <f t="shared" si="5"/>
        <v>1884.727682</v>
      </c>
      <c r="I32" s="37">
        <f t="shared" si="6"/>
        <v>58.426558142000005</v>
      </c>
      <c r="J32" s="34">
        <v>3.1</v>
      </c>
      <c r="K32" s="34">
        <f>+LN(2)/(365*D32)</f>
        <v>3.6021118577335171E-4</v>
      </c>
    </row>
    <row r="33" spans="1:11" x14ac:dyDescent="0.25">
      <c r="A33" s="34" t="s">
        <v>12</v>
      </c>
      <c r="B33" s="34">
        <v>1333</v>
      </c>
      <c r="C33" s="34"/>
      <c r="D33" s="34">
        <v>5.2720000000000002</v>
      </c>
      <c r="E33" s="34">
        <v>1E-3</v>
      </c>
      <c r="F33" s="34">
        <v>5.101E-2</v>
      </c>
      <c r="G33" s="34">
        <v>99.98</v>
      </c>
      <c r="H33" s="37">
        <f t="shared" si="5"/>
        <v>1886.992526</v>
      </c>
      <c r="I33" s="37">
        <f t="shared" si="6"/>
        <v>58.496768306000007</v>
      </c>
      <c r="J33" s="34">
        <v>3.1</v>
      </c>
      <c r="K33" s="34">
        <f>+LN(2)/(365*D33)</f>
        <v>3.6021118577335171E-4</v>
      </c>
    </row>
    <row r="34" spans="1:11" x14ac:dyDescent="0.25">
      <c r="A34" s="34" t="s">
        <v>11</v>
      </c>
      <c r="B34" s="34">
        <v>1836</v>
      </c>
      <c r="C34" s="34">
        <v>106.63</v>
      </c>
      <c r="D34" s="34"/>
      <c r="E34" s="34">
        <v>2.5000000000000001E-2</v>
      </c>
      <c r="F34" s="34">
        <v>9.622E-2</v>
      </c>
      <c r="G34" s="34">
        <v>99.4</v>
      </c>
      <c r="H34" s="37">
        <f t="shared" si="5"/>
        <v>3538.7791600000005</v>
      </c>
      <c r="I34" s="37">
        <f t="shared" si="6"/>
        <v>109.70215396000002</v>
      </c>
      <c r="J34" s="34">
        <v>3.1</v>
      </c>
      <c r="K34" s="34">
        <f>+LN(2)/(C34)</f>
        <v>6.5004893609673202E-3</v>
      </c>
    </row>
    <row r="36" spans="1:11" x14ac:dyDescent="0.25">
      <c r="A36" s="26" t="s">
        <v>23</v>
      </c>
      <c r="C36" t="s">
        <v>36</v>
      </c>
    </row>
    <row r="37" spans="1:11" x14ac:dyDescent="0.25">
      <c r="A37" s="26" t="s">
        <v>22</v>
      </c>
      <c r="B37" s="58">
        <v>42850</v>
      </c>
      <c r="C37" s="59"/>
    </row>
    <row r="38" spans="1:11" x14ac:dyDescent="0.25">
      <c r="A38" s="27" t="s">
        <v>39</v>
      </c>
      <c r="B38" s="59">
        <v>86400</v>
      </c>
      <c r="C38" s="59"/>
      <c r="D38" t="s">
        <v>38</v>
      </c>
    </row>
    <row r="39" spans="1:11" x14ac:dyDescent="0.25">
      <c r="A39" s="27" t="s">
        <v>40</v>
      </c>
      <c r="B39" s="60">
        <f>+B37-$B$21</f>
        <v>175</v>
      </c>
      <c r="C39" s="59"/>
      <c r="D39" t="s">
        <v>37</v>
      </c>
    </row>
    <row r="40" spans="1:11" x14ac:dyDescent="0.25">
      <c r="A40" s="25"/>
    </row>
    <row r="41" spans="1:11" ht="45" x14ac:dyDescent="0.25">
      <c r="A41" s="23" t="s">
        <v>21</v>
      </c>
      <c r="B41" s="24" t="s">
        <v>9</v>
      </c>
      <c r="C41" s="24" t="s">
        <v>10</v>
      </c>
      <c r="D41" s="1" t="s">
        <v>41</v>
      </c>
      <c r="E41" s="28" t="s">
        <v>42</v>
      </c>
      <c r="F41" s="29" t="s">
        <v>43</v>
      </c>
      <c r="G41" s="7"/>
    </row>
    <row r="42" spans="1:11" x14ac:dyDescent="0.25">
      <c r="A42" s="23" t="s">
        <v>20</v>
      </c>
      <c r="B42" s="22">
        <f>+H23*EXP(-K23*$B$39)</f>
        <v>391.44007396415907</v>
      </c>
      <c r="C42" s="21">
        <f>+$B$38*B42</f>
        <v>33820422.390503347</v>
      </c>
      <c r="D42" s="6">
        <f>+K7</f>
        <v>303329.99999999988</v>
      </c>
      <c r="E42" s="4">
        <f>+B23</f>
        <v>60</v>
      </c>
      <c r="F42" s="30">
        <f>+D42/C42</f>
        <v>8.9688412669019137E-3</v>
      </c>
    </row>
    <row r="43" spans="1:11" x14ac:dyDescent="0.25">
      <c r="A43" s="23" t="s">
        <v>19</v>
      </c>
      <c r="B43" s="22">
        <f t="shared" ref="B43:B53" si="8">+H24*EXP(-K24*$B$39)</f>
        <v>279.7164357578576</v>
      </c>
      <c r="C43" s="21">
        <f t="shared" ref="C43:C53" si="9">+$B$38*B43</f>
        <v>24167500.049478896</v>
      </c>
      <c r="D43" s="6">
        <f t="shared" ref="D43:D53" si="10">+K8</f>
        <v>624920</v>
      </c>
      <c r="E43" s="4">
        <f t="shared" ref="E43:E53" si="11">+B24</f>
        <v>88</v>
      </c>
      <c r="F43" s="30">
        <f t="shared" ref="F43:F53" si="12">+D43/C43</f>
        <v>2.5857866917164841E-2</v>
      </c>
    </row>
    <row r="44" spans="1:11" x14ac:dyDescent="0.25">
      <c r="A44" s="23" t="s">
        <v>18</v>
      </c>
      <c r="B44" s="22">
        <f t="shared" si="8"/>
        <v>206.54878277984125</v>
      </c>
      <c r="C44" s="21">
        <f t="shared" si="9"/>
        <v>17845814.832178283</v>
      </c>
      <c r="D44" s="6">
        <f t="shared" si="10"/>
        <v>472290</v>
      </c>
      <c r="E44" s="4">
        <f t="shared" si="11"/>
        <v>122</v>
      </c>
      <c r="F44" s="30">
        <f t="shared" si="12"/>
        <v>2.6465028604264168E-2</v>
      </c>
    </row>
    <row r="45" spans="1:11" x14ac:dyDescent="0.25">
      <c r="A45" s="23" t="s">
        <v>17</v>
      </c>
      <c r="B45" s="22">
        <f t="shared" si="8"/>
        <v>158.28375636175997</v>
      </c>
      <c r="C45" s="21">
        <f t="shared" si="9"/>
        <v>13675716.549656061</v>
      </c>
      <c r="D45" s="6">
        <f t="shared" si="10"/>
        <v>366199.99999999988</v>
      </c>
      <c r="E45" s="4">
        <f t="shared" si="11"/>
        <v>159</v>
      </c>
      <c r="F45" s="30">
        <f t="shared" si="12"/>
        <v>2.6777390323230243E-2</v>
      </c>
    </row>
    <row r="46" spans="1:11" x14ac:dyDescent="0.25">
      <c r="A46" s="23" t="s">
        <v>16</v>
      </c>
      <c r="B46" s="22">
        <f t="shared" si="8"/>
        <v>15.514865389117617</v>
      </c>
      <c r="C46" s="21">
        <f t="shared" si="9"/>
        <v>1340484.3696197621</v>
      </c>
      <c r="D46" s="6">
        <f t="shared" si="10"/>
        <v>23119.999999999971</v>
      </c>
      <c r="E46" s="4">
        <f t="shared" si="11"/>
        <v>320</v>
      </c>
      <c r="F46" s="30">
        <f t="shared" si="12"/>
        <v>1.7247496892901573E-2</v>
      </c>
    </row>
    <row r="47" spans="1:11" x14ac:dyDescent="0.25">
      <c r="A47" s="23" t="s">
        <v>15</v>
      </c>
      <c r="B47" s="22">
        <f t="shared" si="8"/>
        <v>427.61351597040107</v>
      </c>
      <c r="C47" s="21">
        <f t="shared" si="9"/>
        <v>36945807.779842652</v>
      </c>
      <c r="D47" s="6">
        <f t="shared" si="10"/>
        <v>640680</v>
      </c>
      <c r="E47" s="4">
        <f t="shared" si="11"/>
        <v>392</v>
      </c>
      <c r="F47" s="30">
        <f t="shared" si="12"/>
        <v>1.734107435998598E-2</v>
      </c>
    </row>
    <row r="48" spans="1:11" x14ac:dyDescent="0.25">
      <c r="A48" s="23" t="s">
        <v>14</v>
      </c>
      <c r="B48" s="22">
        <f t="shared" si="8"/>
        <v>346.0985968259892</v>
      </c>
      <c r="C48" s="21">
        <f t="shared" si="9"/>
        <v>29902918.765765466</v>
      </c>
      <c r="D48" s="6">
        <f t="shared" si="10"/>
        <v>462120</v>
      </c>
      <c r="E48" s="4">
        <f t="shared" si="11"/>
        <v>514</v>
      </c>
      <c r="F48" s="30">
        <f t="shared" si="12"/>
        <v>1.5454009811545917E-2</v>
      </c>
    </row>
    <row r="49" spans="1:6" x14ac:dyDescent="0.25">
      <c r="A49" s="23" t="s">
        <v>13</v>
      </c>
      <c r="B49" s="22">
        <f t="shared" si="8"/>
        <v>1346.8943244885056</v>
      </c>
      <c r="C49" s="21">
        <f t="shared" si="9"/>
        <v>116371669.63580689</v>
      </c>
      <c r="D49" s="6">
        <f t="shared" si="10"/>
        <v>1463380</v>
      </c>
      <c r="E49" s="4">
        <f t="shared" si="11"/>
        <v>662</v>
      </c>
      <c r="F49" s="30">
        <f t="shared" si="12"/>
        <v>1.2575053744435806E-2</v>
      </c>
    </row>
    <row r="50" spans="1:6" x14ac:dyDescent="0.25">
      <c r="A50" s="23" t="s">
        <v>11</v>
      </c>
      <c r="B50" s="22">
        <f t="shared" si="8"/>
        <v>1072.8716386769252</v>
      </c>
      <c r="C50" s="21">
        <f t="shared" si="9"/>
        <v>92696109.581686333</v>
      </c>
      <c r="D50" s="6">
        <f t="shared" si="10"/>
        <v>973520</v>
      </c>
      <c r="E50" s="4">
        <f t="shared" si="11"/>
        <v>898</v>
      </c>
      <c r="F50" s="30">
        <f t="shared" si="12"/>
        <v>1.0502274630437512E-2</v>
      </c>
    </row>
    <row r="51" spans="1:6" x14ac:dyDescent="0.25">
      <c r="A51" s="23" t="s">
        <v>12</v>
      </c>
      <c r="B51" s="22">
        <f t="shared" si="8"/>
        <v>1769.5873559436322</v>
      </c>
      <c r="C51" s="21">
        <f t="shared" si="9"/>
        <v>152892347.55352983</v>
      </c>
      <c r="D51" s="6">
        <f t="shared" si="10"/>
        <v>1366780</v>
      </c>
      <c r="E51" s="4">
        <f t="shared" si="11"/>
        <v>1173</v>
      </c>
      <c r="F51" s="30">
        <f t="shared" si="12"/>
        <v>8.939492537528541E-3</v>
      </c>
    </row>
    <row r="52" spans="1:6" x14ac:dyDescent="0.25">
      <c r="A52" s="23" t="s">
        <v>12</v>
      </c>
      <c r="B52" s="22">
        <f t="shared" si="8"/>
        <v>1771.7138378454272</v>
      </c>
      <c r="C52" s="21">
        <f t="shared" si="9"/>
        <v>153076075.58984491</v>
      </c>
      <c r="D52" s="6">
        <f t="shared" si="10"/>
        <v>1286896</v>
      </c>
      <c r="E52" s="4">
        <f t="shared" si="11"/>
        <v>1333</v>
      </c>
      <c r="F52" s="30">
        <f t="shared" si="12"/>
        <v>8.406904835005927E-3</v>
      </c>
    </row>
    <row r="53" spans="1:6" x14ac:dyDescent="0.25">
      <c r="A53" s="23" t="s">
        <v>11</v>
      </c>
      <c r="B53" s="22">
        <f t="shared" si="8"/>
        <v>1134.5046902604934</v>
      </c>
      <c r="C53" s="21">
        <f t="shared" si="9"/>
        <v>98021205.23850663</v>
      </c>
      <c r="D53" s="6">
        <f t="shared" si="10"/>
        <v>660209</v>
      </c>
      <c r="E53" s="4">
        <f t="shared" si="11"/>
        <v>1836</v>
      </c>
      <c r="F53" s="30">
        <f t="shared" si="12"/>
        <v>6.7353691315421987E-3</v>
      </c>
    </row>
  </sheetData>
  <mergeCells count="4">
    <mergeCell ref="A1:N2"/>
    <mergeCell ref="B37:C37"/>
    <mergeCell ref="B38:C38"/>
    <mergeCell ref="B39:C39"/>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zoomScale="85" zoomScaleNormal="85" workbookViewId="0">
      <selection activeCell="C55" sqref="C55"/>
    </sheetView>
  </sheetViews>
  <sheetFormatPr defaultRowHeight="15" x14ac:dyDescent="0.25"/>
  <cols>
    <col min="3" max="3" width="12" customWidth="1"/>
    <col min="4" max="4" width="10.7109375" bestFit="1" customWidth="1"/>
    <col min="9" max="9" width="10.5703125" bestFit="1" customWidth="1"/>
    <col min="10" max="10" width="11.140625" customWidth="1"/>
    <col min="11" max="12" width="10.5703125" bestFit="1" customWidth="1"/>
    <col min="16" max="16" width="10.7109375" bestFit="1" customWidth="1"/>
  </cols>
  <sheetData>
    <row r="1" spans="1:17" x14ac:dyDescent="0.25">
      <c r="A1" s="57" t="s">
        <v>86</v>
      </c>
      <c r="B1" s="57"/>
      <c r="C1" s="57"/>
      <c r="D1" s="57"/>
      <c r="E1" s="57"/>
      <c r="F1" s="57"/>
      <c r="G1" s="57"/>
      <c r="H1" s="57"/>
      <c r="I1" s="57"/>
      <c r="J1" s="57"/>
      <c r="K1" s="57"/>
      <c r="L1" s="57"/>
      <c r="M1" s="57"/>
      <c r="N1" s="57"/>
    </row>
    <row r="2" spans="1:17" x14ac:dyDescent="0.25">
      <c r="A2" s="57"/>
      <c r="B2" s="57"/>
      <c r="C2" s="57"/>
      <c r="D2" s="57"/>
      <c r="E2" s="57"/>
      <c r="F2" s="57"/>
      <c r="G2" s="57"/>
      <c r="H2" s="57"/>
      <c r="I2" s="57"/>
      <c r="J2" s="57"/>
      <c r="K2" s="57"/>
      <c r="L2" s="57"/>
      <c r="M2" s="57"/>
      <c r="N2" s="57"/>
    </row>
    <row r="4" spans="1:17" ht="15.75" thickBot="1" x14ac:dyDescent="0.3"/>
    <row r="5" spans="1:17" x14ac:dyDescent="0.25">
      <c r="A5" s="9" t="s">
        <v>8</v>
      </c>
      <c r="B5" s="10"/>
      <c r="C5" s="10"/>
      <c r="D5" s="10"/>
      <c r="E5" s="10"/>
      <c r="F5" s="10"/>
      <c r="G5" s="10"/>
      <c r="H5" s="10"/>
      <c r="I5" s="10"/>
      <c r="J5" s="10"/>
      <c r="K5" s="10"/>
      <c r="L5" s="10"/>
      <c r="M5" s="10"/>
      <c r="N5" s="11"/>
    </row>
    <row r="6" spans="1:17" ht="45" x14ac:dyDescent="0.25">
      <c r="A6" s="12" t="s">
        <v>0</v>
      </c>
      <c r="B6" s="2" t="s">
        <v>3</v>
      </c>
      <c r="C6" s="1" t="s">
        <v>5</v>
      </c>
      <c r="D6" s="2" t="s">
        <v>4</v>
      </c>
      <c r="E6" s="1" t="s">
        <v>6</v>
      </c>
      <c r="F6" s="1" t="s">
        <v>7</v>
      </c>
      <c r="G6" s="3" t="s">
        <v>1</v>
      </c>
      <c r="H6" s="3" t="s">
        <v>2</v>
      </c>
      <c r="I6" s="1" t="s">
        <v>49</v>
      </c>
      <c r="J6" s="1" t="s">
        <v>48</v>
      </c>
      <c r="K6" s="44" t="s">
        <v>45</v>
      </c>
      <c r="L6" s="44" t="s">
        <v>46</v>
      </c>
      <c r="M6" s="45" t="s">
        <v>47</v>
      </c>
      <c r="N6" s="31" t="s">
        <v>44</v>
      </c>
      <c r="O6" s="40"/>
      <c r="P6" s="40"/>
      <c r="Q6" s="8"/>
    </row>
    <row r="7" spans="1:17" x14ac:dyDescent="0.25">
      <c r="A7" s="13">
        <v>60</v>
      </c>
      <c r="B7" s="5">
        <v>188</v>
      </c>
      <c r="C7" s="4">
        <v>5813</v>
      </c>
      <c r="D7" s="5">
        <v>281</v>
      </c>
      <c r="E7" s="4">
        <v>6042</v>
      </c>
      <c r="F7" s="4">
        <f>+D7-B7+1</f>
        <v>94</v>
      </c>
      <c r="G7" s="3">
        <v>2.4620000000000002</v>
      </c>
      <c r="H7" s="3">
        <v>5350</v>
      </c>
      <c r="I7" s="6">
        <f>6.7906*10^5</f>
        <v>679060</v>
      </c>
      <c r="J7" s="6">
        <f>5.5717*10^5</f>
        <v>557170</v>
      </c>
      <c r="K7" s="46">
        <f>+I7-J7</f>
        <v>121890</v>
      </c>
      <c r="L7" s="46">
        <f>+SQRT(I7+J7)</f>
        <v>1111.8588039854701</v>
      </c>
      <c r="M7" s="45">
        <f>100*L7/K7</f>
        <v>0.91218213469970477</v>
      </c>
      <c r="N7" s="14">
        <f>+K7/86400</f>
        <v>1.4107638888888889</v>
      </c>
      <c r="P7" s="39"/>
    </row>
    <row r="8" spans="1:17" x14ac:dyDescent="0.25">
      <c r="A8" s="13">
        <v>88</v>
      </c>
      <c r="B8" s="5">
        <v>285</v>
      </c>
      <c r="C8" s="4">
        <v>6088</v>
      </c>
      <c r="D8" s="5">
        <v>410</v>
      </c>
      <c r="E8" s="4">
        <v>6128</v>
      </c>
      <c r="F8" s="4">
        <f t="shared" ref="F8:F18" si="0">+D8-B8+1</f>
        <v>126</v>
      </c>
      <c r="G8" s="3">
        <v>0.32</v>
      </c>
      <c r="H8" s="3">
        <v>5997</v>
      </c>
      <c r="I8" s="6">
        <f>1.1232*10^6</f>
        <v>1123200</v>
      </c>
      <c r="J8" s="6">
        <f>7.6963*10^5</f>
        <v>769630</v>
      </c>
      <c r="K8" s="46">
        <f t="shared" ref="K8:K18" si="1">+I8-J8</f>
        <v>353570</v>
      </c>
      <c r="L8" s="46">
        <f t="shared" ref="L8:L18" si="2">+SQRT(I8+J8)</f>
        <v>1375.8015845317232</v>
      </c>
      <c r="M8" s="45">
        <f t="shared" ref="M8:M18" si="3">100*L8/K8</f>
        <v>0.38911717185613121</v>
      </c>
      <c r="N8" s="14">
        <f t="shared" ref="N8:N18" si="4">+K8/86400</f>
        <v>4.0922453703703701</v>
      </c>
      <c r="P8" s="39"/>
    </row>
    <row r="9" spans="1:17" x14ac:dyDescent="0.25">
      <c r="A9" s="13">
        <v>122</v>
      </c>
      <c r="B9" s="5">
        <v>419</v>
      </c>
      <c r="C9" s="4">
        <v>6161</v>
      </c>
      <c r="D9" s="5">
        <v>545</v>
      </c>
      <c r="E9" s="4">
        <v>6463</v>
      </c>
      <c r="F9" s="4">
        <f t="shared" si="0"/>
        <v>127</v>
      </c>
      <c r="G9" s="3">
        <v>2.3969999999999998</v>
      </c>
      <c r="H9" s="3">
        <v>5157</v>
      </c>
      <c r="I9" s="6">
        <f>1.1219*10^6</f>
        <v>1121900</v>
      </c>
      <c r="J9" s="6">
        <f>8.0167*10^5</f>
        <v>801670</v>
      </c>
      <c r="K9" s="46">
        <f t="shared" si="1"/>
        <v>320230</v>
      </c>
      <c r="L9" s="46">
        <f t="shared" si="2"/>
        <v>1386.9282605816352</v>
      </c>
      <c r="M9" s="45">
        <f t="shared" si="3"/>
        <v>0.43310378808407557</v>
      </c>
      <c r="N9" s="14">
        <f t="shared" si="4"/>
        <v>3.7063657407407407</v>
      </c>
      <c r="P9" s="39"/>
    </row>
    <row r="10" spans="1:17" x14ac:dyDescent="0.25">
      <c r="A10" s="13">
        <v>159</v>
      </c>
      <c r="B10" s="5">
        <v>606</v>
      </c>
      <c r="C10" s="4">
        <v>6293</v>
      </c>
      <c r="D10" s="5">
        <v>706</v>
      </c>
      <c r="E10" s="4">
        <v>6696</v>
      </c>
      <c r="F10" s="4">
        <f t="shared" si="0"/>
        <v>101</v>
      </c>
      <c r="G10" s="3">
        <v>4.03</v>
      </c>
      <c r="H10" s="3">
        <v>3851</v>
      </c>
      <c r="I10" s="6">
        <f>8.9642*10^5</f>
        <v>896420</v>
      </c>
      <c r="J10" s="6">
        <f>6.5596*10^5</f>
        <v>655960</v>
      </c>
      <c r="K10" s="46">
        <f t="shared" si="1"/>
        <v>240460</v>
      </c>
      <c r="L10" s="46">
        <f t="shared" si="2"/>
        <v>1245.9454241659223</v>
      </c>
      <c r="M10" s="45">
        <f t="shared" si="3"/>
        <v>0.5181508043607761</v>
      </c>
      <c r="N10" s="14">
        <f t="shared" si="4"/>
        <v>2.783101851851852</v>
      </c>
      <c r="P10" s="39"/>
    </row>
    <row r="11" spans="1:17" x14ac:dyDescent="0.25">
      <c r="A11" s="13">
        <v>320</v>
      </c>
      <c r="B11" s="5">
        <v>1304</v>
      </c>
      <c r="C11" s="4">
        <v>4182</v>
      </c>
      <c r="D11" s="5">
        <v>1362</v>
      </c>
      <c r="E11" s="4">
        <v>3961</v>
      </c>
      <c r="F11" s="4">
        <f t="shared" si="0"/>
        <v>59</v>
      </c>
      <c r="G11" s="3">
        <v>-3.81</v>
      </c>
      <c r="H11" s="3">
        <v>9151</v>
      </c>
      <c r="I11" s="6">
        <f>2.6195*10^5</f>
        <v>261950</v>
      </c>
      <c r="J11" s="6">
        <f>2.4026*10^5</f>
        <v>240260</v>
      </c>
      <c r="K11" s="46">
        <f t="shared" si="1"/>
        <v>21690</v>
      </c>
      <c r="L11" s="46">
        <f t="shared" si="2"/>
        <v>708.66776418855125</v>
      </c>
      <c r="M11" s="45">
        <f t="shared" si="3"/>
        <v>3.2672557131791207</v>
      </c>
      <c r="N11" s="14">
        <f t="shared" si="4"/>
        <v>0.25104166666666666</v>
      </c>
      <c r="P11" s="39"/>
    </row>
    <row r="12" spans="1:17" x14ac:dyDescent="0.25">
      <c r="A12" s="13">
        <v>392</v>
      </c>
      <c r="B12" s="5">
        <v>1566</v>
      </c>
      <c r="C12" s="4">
        <v>3393</v>
      </c>
      <c r="D12" s="5">
        <v>1681</v>
      </c>
      <c r="E12" s="4">
        <v>3101</v>
      </c>
      <c r="F12" s="4">
        <f t="shared" si="0"/>
        <v>116</v>
      </c>
      <c r="G12" s="3">
        <v>-2.5390000000000001</v>
      </c>
      <c r="H12" s="3">
        <v>7369</v>
      </c>
      <c r="I12" s="6">
        <f>8.6549*10^5</f>
        <v>865490</v>
      </c>
      <c r="J12" s="6">
        <f>3.7664*10^5</f>
        <v>376640</v>
      </c>
      <c r="K12" s="46">
        <f t="shared" si="1"/>
        <v>488850</v>
      </c>
      <c r="L12" s="46">
        <f t="shared" si="2"/>
        <v>1114.5088604403286</v>
      </c>
      <c r="M12" s="45">
        <f t="shared" si="3"/>
        <v>0.22798585669230409</v>
      </c>
      <c r="N12" s="14">
        <f t="shared" si="4"/>
        <v>5.6579861111111107</v>
      </c>
      <c r="P12" s="39"/>
    </row>
    <row r="13" spans="1:17" x14ac:dyDescent="0.25">
      <c r="A13" s="13">
        <v>514</v>
      </c>
      <c r="B13" s="5">
        <v>2082</v>
      </c>
      <c r="C13" s="4">
        <v>2669</v>
      </c>
      <c r="D13" s="5">
        <v>2195</v>
      </c>
      <c r="E13" s="4">
        <v>2288</v>
      </c>
      <c r="F13" s="4">
        <f t="shared" si="0"/>
        <v>114</v>
      </c>
      <c r="G13" s="3">
        <v>-3.3719999999999999</v>
      </c>
      <c r="H13" s="3">
        <v>9689</v>
      </c>
      <c r="I13" s="6">
        <f>6.711*10^5</f>
        <v>671100</v>
      </c>
      <c r="J13" s="6">
        <f>2.8249*10^5</f>
        <v>282490</v>
      </c>
      <c r="K13" s="46">
        <f t="shared" si="1"/>
        <v>388610</v>
      </c>
      <c r="L13" s="46">
        <f t="shared" si="2"/>
        <v>976.51932904576961</v>
      </c>
      <c r="M13" s="45">
        <f t="shared" si="3"/>
        <v>0.25128517769634584</v>
      </c>
      <c r="N13" s="14">
        <f t="shared" si="4"/>
        <v>4.497800925925926</v>
      </c>
      <c r="P13" s="39"/>
    </row>
    <row r="14" spans="1:17" x14ac:dyDescent="0.25">
      <c r="A14" s="13">
        <v>662</v>
      </c>
      <c r="B14" s="5">
        <v>2675</v>
      </c>
      <c r="C14" s="4">
        <v>2368</v>
      </c>
      <c r="D14" s="5">
        <v>2808</v>
      </c>
      <c r="E14" s="4">
        <v>2279</v>
      </c>
      <c r="F14" s="4">
        <f t="shared" si="0"/>
        <v>134</v>
      </c>
      <c r="G14" s="3">
        <v>-0.66920000000000002</v>
      </c>
      <c r="H14" s="3">
        <v>4158</v>
      </c>
      <c r="I14" s="6">
        <f>1.4894*10^6</f>
        <v>1489400</v>
      </c>
      <c r="J14" s="6">
        <f>3.1133*10^5</f>
        <v>311330</v>
      </c>
      <c r="K14" s="46">
        <f t="shared" si="1"/>
        <v>1178070</v>
      </c>
      <c r="L14" s="46">
        <f t="shared" si="2"/>
        <v>1341.9128138593803</v>
      </c>
      <c r="M14" s="45">
        <f t="shared" si="3"/>
        <v>0.11390773161691413</v>
      </c>
      <c r="N14" s="14">
        <f t="shared" si="4"/>
        <v>13.635069444444444</v>
      </c>
      <c r="P14" s="39"/>
    </row>
    <row r="15" spans="1:17" x14ac:dyDescent="0.25">
      <c r="A15" s="13">
        <v>898</v>
      </c>
      <c r="B15" s="5">
        <v>3666</v>
      </c>
      <c r="C15" s="4">
        <v>2022</v>
      </c>
      <c r="D15" s="5">
        <v>3795</v>
      </c>
      <c r="E15" s="4">
        <v>1969</v>
      </c>
      <c r="F15" s="4">
        <f t="shared" si="0"/>
        <v>130</v>
      </c>
      <c r="G15" s="3">
        <v>-0.41089999999999999</v>
      </c>
      <c r="H15" s="3">
        <v>3528</v>
      </c>
      <c r="I15" s="6">
        <f>1.0359*10^6</f>
        <v>1035900</v>
      </c>
      <c r="J15" s="6">
        <f>2.5937*10^5</f>
        <v>259370</v>
      </c>
      <c r="K15" s="46">
        <f t="shared" si="1"/>
        <v>776530</v>
      </c>
      <c r="L15" s="46">
        <f t="shared" si="2"/>
        <v>1138.0992926805641</v>
      </c>
      <c r="M15" s="45">
        <f t="shared" si="3"/>
        <v>0.14656217952694217</v>
      </c>
      <c r="N15" s="14">
        <f t="shared" si="4"/>
        <v>8.9876157407407415</v>
      </c>
      <c r="P15" s="39"/>
    </row>
    <row r="16" spans="1:17" x14ac:dyDescent="0.25">
      <c r="A16" s="13">
        <v>1173</v>
      </c>
      <c r="B16" s="5">
        <v>4820</v>
      </c>
      <c r="C16" s="4">
        <v>1103</v>
      </c>
      <c r="D16" s="5">
        <v>4953</v>
      </c>
      <c r="E16" s="4">
        <v>743.2</v>
      </c>
      <c r="F16" s="4">
        <f t="shared" si="0"/>
        <v>134</v>
      </c>
      <c r="G16" s="3">
        <v>-2.7050000000000001</v>
      </c>
      <c r="H16" s="3">
        <v>14140</v>
      </c>
      <c r="I16" s="6">
        <f>1.2491*10^6</f>
        <v>1249100</v>
      </c>
      <c r="J16" s="6">
        <f>1.2355*10^5</f>
        <v>123550</v>
      </c>
      <c r="K16" s="46">
        <f t="shared" si="1"/>
        <v>1125550</v>
      </c>
      <c r="L16" s="46">
        <f t="shared" si="2"/>
        <v>1171.6014680769224</v>
      </c>
      <c r="M16" s="45">
        <f t="shared" si="3"/>
        <v>0.10409146355798699</v>
      </c>
      <c r="N16" s="14">
        <f t="shared" si="4"/>
        <v>13.027199074074074</v>
      </c>
      <c r="P16" s="39"/>
    </row>
    <row r="17" spans="1:16" x14ac:dyDescent="0.25">
      <c r="A17" s="13">
        <v>1333</v>
      </c>
      <c r="B17" s="5">
        <v>5452</v>
      </c>
      <c r="C17" s="4">
        <v>489.2</v>
      </c>
      <c r="D17" s="5">
        <v>5622</v>
      </c>
      <c r="E17" s="4">
        <v>349.5</v>
      </c>
      <c r="F17" s="4">
        <f t="shared" si="0"/>
        <v>171</v>
      </c>
      <c r="G17" s="3">
        <v>-0.82179999999999997</v>
      </c>
      <c r="H17" s="3">
        <v>4949</v>
      </c>
      <c r="I17" s="6">
        <f>1.1404*10^6</f>
        <v>1140400</v>
      </c>
      <c r="J17" s="6">
        <f>6.8177*10^4</f>
        <v>68177</v>
      </c>
      <c r="K17" s="46">
        <f t="shared" si="1"/>
        <v>1072223</v>
      </c>
      <c r="L17" s="46">
        <f t="shared" si="2"/>
        <v>1099.3529915363854</v>
      </c>
      <c r="M17" s="45">
        <f t="shared" si="3"/>
        <v>0.10253025644258568</v>
      </c>
      <c r="N17" s="14">
        <f t="shared" si="4"/>
        <v>12.409988425925926</v>
      </c>
      <c r="P17" s="39"/>
    </row>
    <row r="18" spans="1:16" ht="15.75" thickBot="1" x14ac:dyDescent="0.3">
      <c r="A18" s="15">
        <v>1836</v>
      </c>
      <c r="B18" s="16">
        <v>7532</v>
      </c>
      <c r="C18" s="17">
        <v>107.1</v>
      </c>
      <c r="D18" s="16">
        <v>7727</v>
      </c>
      <c r="E18" s="17">
        <v>34.840000000000003</v>
      </c>
      <c r="F18" s="17">
        <f t="shared" si="0"/>
        <v>196</v>
      </c>
      <c r="G18" s="18">
        <v>-0.37059999999999998</v>
      </c>
      <c r="H18" s="18">
        <v>2898</v>
      </c>
      <c r="I18" s="19">
        <f>5.5766*10^5</f>
        <v>557660</v>
      </c>
      <c r="J18" s="19">
        <f>1.3819*10^4</f>
        <v>13818.999999999998</v>
      </c>
      <c r="K18" s="47">
        <f t="shared" si="1"/>
        <v>543841</v>
      </c>
      <c r="L18" s="47">
        <f t="shared" si="2"/>
        <v>755.96230064732731</v>
      </c>
      <c r="M18" s="48">
        <f t="shared" si="3"/>
        <v>0.13900428629826131</v>
      </c>
      <c r="N18" s="20">
        <f t="shared" si="4"/>
        <v>6.2944560185185185</v>
      </c>
      <c r="P18" s="39"/>
    </row>
    <row r="21" spans="1:16" x14ac:dyDescent="0.25">
      <c r="A21" s="32" t="s">
        <v>34</v>
      </c>
      <c r="B21" s="33">
        <v>42675</v>
      </c>
      <c r="C21" s="32"/>
      <c r="D21" s="32"/>
      <c r="E21" s="32"/>
      <c r="F21" s="32"/>
      <c r="G21" s="32"/>
      <c r="H21" s="32"/>
      <c r="I21" s="32"/>
      <c r="J21" s="32"/>
      <c r="K21" s="32"/>
    </row>
    <row r="22" spans="1:16" ht="60" x14ac:dyDescent="0.25">
      <c r="A22" s="34" t="s">
        <v>21</v>
      </c>
      <c r="B22" s="35" t="s">
        <v>33</v>
      </c>
      <c r="C22" s="35" t="s">
        <v>32</v>
      </c>
      <c r="D22" s="35" t="s">
        <v>31</v>
      </c>
      <c r="E22" s="35" t="s">
        <v>30</v>
      </c>
      <c r="F22" s="35" t="s">
        <v>29</v>
      </c>
      <c r="G22" s="35" t="s">
        <v>28</v>
      </c>
      <c r="H22" s="35" t="s">
        <v>27</v>
      </c>
      <c r="I22" s="35" t="s">
        <v>26</v>
      </c>
      <c r="J22" s="35" t="s">
        <v>25</v>
      </c>
      <c r="K22" s="35" t="s">
        <v>24</v>
      </c>
    </row>
    <row r="23" spans="1:16" x14ac:dyDescent="0.25">
      <c r="A23" s="34" t="s">
        <v>20</v>
      </c>
      <c r="B23" s="34">
        <v>60</v>
      </c>
      <c r="C23" s="34"/>
      <c r="D23" s="34">
        <v>432.17</v>
      </c>
      <c r="E23" s="34">
        <v>0.66</v>
      </c>
      <c r="F23" s="34">
        <v>2.9409999999999999E-2</v>
      </c>
      <c r="G23" s="36">
        <v>36</v>
      </c>
      <c r="H23" s="36">
        <f t="shared" ref="H23:H34" si="5">+F23*(G23/100)*37*10^9/10^6</f>
        <v>391.74119999999994</v>
      </c>
      <c r="I23" s="37">
        <f t="shared" ref="I23:I34" si="6">+H23*J23/100</f>
        <v>12.1439772</v>
      </c>
      <c r="J23" s="34">
        <v>3.1</v>
      </c>
      <c r="K23" s="34">
        <f>+LN(2)/(365*D23)</f>
        <v>4.3941813901869866E-6</v>
      </c>
    </row>
    <row r="24" spans="1:16" x14ac:dyDescent="0.25">
      <c r="A24" s="34" t="s">
        <v>19</v>
      </c>
      <c r="B24" s="34">
        <v>88</v>
      </c>
      <c r="C24" s="34">
        <v>462.6</v>
      </c>
      <c r="D24" s="34"/>
      <c r="E24" s="34">
        <v>0.7</v>
      </c>
      <c r="F24" s="34">
        <v>0.2707</v>
      </c>
      <c r="G24" s="34">
        <v>3.63</v>
      </c>
      <c r="H24" s="36">
        <f t="shared" si="5"/>
        <v>363.57716999999997</v>
      </c>
      <c r="I24" s="37">
        <f t="shared" si="6"/>
        <v>11.270892269999999</v>
      </c>
      <c r="J24" s="34">
        <v>3.1</v>
      </c>
      <c r="K24" s="34">
        <f t="shared" ref="K24:K29" si="7">+LN(2)/(C24)</f>
        <v>1.4983726341546589E-3</v>
      </c>
    </row>
    <row r="25" spans="1:16" x14ac:dyDescent="0.25">
      <c r="A25" s="34" t="s">
        <v>18</v>
      </c>
      <c r="B25" s="34">
        <v>122</v>
      </c>
      <c r="C25" s="34">
        <v>271.79000000000002</v>
      </c>
      <c r="D25" s="34"/>
      <c r="E25" s="34">
        <v>0.09</v>
      </c>
      <c r="F25" s="34">
        <v>1.0189999999999999E-2</v>
      </c>
      <c r="G25" s="34">
        <v>85.6</v>
      </c>
      <c r="H25" s="36">
        <f t="shared" si="5"/>
        <v>322.73768000000001</v>
      </c>
      <c r="I25" s="37">
        <f t="shared" si="6"/>
        <v>10.327605760000001</v>
      </c>
      <c r="J25" s="34">
        <v>3.2</v>
      </c>
      <c r="K25" s="34">
        <f t="shared" si="7"/>
        <v>2.5503042075129519E-3</v>
      </c>
    </row>
    <row r="26" spans="1:16" x14ac:dyDescent="0.25">
      <c r="A26" s="34" t="s">
        <v>17</v>
      </c>
      <c r="B26" s="34">
        <v>159</v>
      </c>
      <c r="C26" s="34">
        <v>119.7</v>
      </c>
      <c r="D26" s="34"/>
      <c r="E26" s="34">
        <v>0.1</v>
      </c>
      <c r="F26" s="34">
        <v>1.4030000000000001E-2</v>
      </c>
      <c r="G26" s="36">
        <v>84</v>
      </c>
      <c r="H26" s="36">
        <f t="shared" si="5"/>
        <v>436.05239999999998</v>
      </c>
      <c r="I26" s="37">
        <f t="shared" si="6"/>
        <v>13.9536768</v>
      </c>
      <c r="J26" s="34">
        <v>3.2</v>
      </c>
      <c r="K26" s="34">
        <f t="shared" si="7"/>
        <v>5.7907032628232687E-3</v>
      </c>
    </row>
    <row r="27" spans="1:16" x14ac:dyDescent="0.25">
      <c r="A27" s="34" t="s">
        <v>16</v>
      </c>
      <c r="B27" s="34">
        <v>320</v>
      </c>
      <c r="C27" s="34">
        <v>27.706</v>
      </c>
      <c r="D27" s="34"/>
      <c r="E27" s="34">
        <v>7.0000000000000001E-3</v>
      </c>
      <c r="F27" s="34">
        <v>0.33889999999999998</v>
      </c>
      <c r="G27" s="34">
        <v>9.86</v>
      </c>
      <c r="H27" s="37">
        <f t="shared" si="5"/>
        <v>1236.3749799999998</v>
      </c>
      <c r="I27" s="37">
        <f t="shared" si="6"/>
        <v>38.327624379999996</v>
      </c>
      <c r="J27" s="34">
        <v>3.1</v>
      </c>
      <c r="K27" s="34">
        <f t="shared" si="7"/>
        <v>2.5017944869701339E-2</v>
      </c>
    </row>
    <row r="28" spans="1:16" x14ac:dyDescent="0.25">
      <c r="A28" s="34" t="s">
        <v>15</v>
      </c>
      <c r="B28" s="34">
        <v>392</v>
      </c>
      <c r="C28" s="34">
        <v>115.09</v>
      </c>
      <c r="D28" s="34"/>
      <c r="E28" s="34">
        <v>0.04</v>
      </c>
      <c r="F28" s="34">
        <v>5.1090000000000003E-2</v>
      </c>
      <c r="G28" s="34">
        <v>64.900000000000006</v>
      </c>
      <c r="H28" s="37">
        <f t="shared" si="5"/>
        <v>1226.8241700000003</v>
      </c>
      <c r="I28" s="37">
        <f t="shared" si="6"/>
        <v>38.031549270000006</v>
      </c>
      <c r="J28" s="34">
        <v>3.1</v>
      </c>
      <c r="K28" s="34">
        <f t="shared" si="7"/>
        <v>6.022653406550919E-3</v>
      </c>
    </row>
    <row r="29" spans="1:16" x14ac:dyDescent="0.25">
      <c r="A29" s="34" t="s">
        <v>14</v>
      </c>
      <c r="B29" s="34">
        <v>514</v>
      </c>
      <c r="C29" s="34">
        <v>64.849000000000004</v>
      </c>
      <c r="D29" s="34"/>
      <c r="E29" s="34">
        <v>4.0000000000000001E-3</v>
      </c>
      <c r="F29" s="34">
        <v>6.1710000000000001E-2</v>
      </c>
      <c r="G29" s="34">
        <v>98.4</v>
      </c>
      <c r="H29" s="37">
        <f t="shared" si="5"/>
        <v>2246.7376800000006</v>
      </c>
      <c r="I29" s="37">
        <f t="shared" si="6"/>
        <v>69.648868080000014</v>
      </c>
      <c r="J29" s="34">
        <v>3.1</v>
      </c>
      <c r="K29" s="34">
        <f t="shared" si="7"/>
        <v>1.0688633295192604E-2</v>
      </c>
    </row>
    <row r="30" spans="1:16" x14ac:dyDescent="0.25">
      <c r="A30" s="34" t="s">
        <v>13</v>
      </c>
      <c r="B30" s="34">
        <v>662</v>
      </c>
      <c r="C30" s="34"/>
      <c r="D30" s="34">
        <v>30.17</v>
      </c>
      <c r="E30" s="34">
        <v>0.16</v>
      </c>
      <c r="F30" s="34">
        <v>4.3249999999999997E-2</v>
      </c>
      <c r="G30" s="34">
        <v>85.1</v>
      </c>
      <c r="H30" s="37">
        <f t="shared" si="5"/>
        <v>1361.8127500000001</v>
      </c>
      <c r="I30" s="37">
        <f t="shared" si="6"/>
        <v>42.216195249999998</v>
      </c>
      <c r="J30" s="34">
        <v>3.1</v>
      </c>
      <c r="K30" s="34">
        <f>+LN(2)/(365*D30)</f>
        <v>6.294442729191615E-5</v>
      </c>
    </row>
    <row r="31" spans="1:16" x14ac:dyDescent="0.25">
      <c r="A31" s="34" t="s">
        <v>11</v>
      </c>
      <c r="B31" s="34">
        <v>898</v>
      </c>
      <c r="C31" s="34">
        <v>106.63</v>
      </c>
      <c r="D31" s="34"/>
      <c r="E31" s="34">
        <v>2.5000000000000001E-2</v>
      </c>
      <c r="F31" s="34">
        <v>9.622E-2</v>
      </c>
      <c r="G31" s="36">
        <v>94</v>
      </c>
      <c r="H31" s="37">
        <f t="shared" si="5"/>
        <v>3346.5315999999993</v>
      </c>
      <c r="I31" s="37">
        <f t="shared" si="6"/>
        <v>103.74247959999998</v>
      </c>
      <c r="J31" s="34">
        <v>3.1</v>
      </c>
      <c r="K31" s="34">
        <f>+LN(2)/(C31)</f>
        <v>6.5004893609673202E-3</v>
      </c>
    </row>
    <row r="32" spans="1:16" x14ac:dyDescent="0.25">
      <c r="A32" s="34" t="s">
        <v>12</v>
      </c>
      <c r="B32" s="34">
        <v>1173</v>
      </c>
      <c r="C32" s="34"/>
      <c r="D32" s="34">
        <v>5.2720000000000002</v>
      </c>
      <c r="E32" s="34">
        <v>1E-3</v>
      </c>
      <c r="F32" s="34">
        <v>5.101E-2</v>
      </c>
      <c r="G32" s="34">
        <v>99.86</v>
      </c>
      <c r="H32" s="37">
        <f t="shared" si="5"/>
        <v>1884.727682</v>
      </c>
      <c r="I32" s="37">
        <f t="shared" si="6"/>
        <v>58.426558142000005</v>
      </c>
      <c r="J32" s="34">
        <v>3.1</v>
      </c>
      <c r="K32" s="34">
        <f>+LN(2)/(365*D32)</f>
        <v>3.6021118577335171E-4</v>
      </c>
    </row>
    <row r="33" spans="1:11" x14ac:dyDescent="0.25">
      <c r="A33" s="34" t="s">
        <v>12</v>
      </c>
      <c r="B33" s="34">
        <v>1333</v>
      </c>
      <c r="C33" s="34"/>
      <c r="D33" s="34">
        <v>5.2720000000000002</v>
      </c>
      <c r="E33" s="34">
        <v>1E-3</v>
      </c>
      <c r="F33" s="34">
        <v>5.101E-2</v>
      </c>
      <c r="G33" s="34">
        <v>99.98</v>
      </c>
      <c r="H33" s="37">
        <f t="shared" si="5"/>
        <v>1886.992526</v>
      </c>
      <c r="I33" s="37">
        <f t="shared" si="6"/>
        <v>58.496768306000007</v>
      </c>
      <c r="J33" s="34">
        <v>3.1</v>
      </c>
      <c r="K33" s="34">
        <f>+LN(2)/(365*D33)</f>
        <v>3.6021118577335171E-4</v>
      </c>
    </row>
    <row r="34" spans="1:11" x14ac:dyDescent="0.25">
      <c r="A34" s="34" t="s">
        <v>11</v>
      </c>
      <c r="B34" s="34">
        <v>1836</v>
      </c>
      <c r="C34" s="34">
        <v>106.63</v>
      </c>
      <c r="D34" s="34"/>
      <c r="E34" s="34">
        <v>2.5000000000000001E-2</v>
      </c>
      <c r="F34" s="34">
        <v>9.622E-2</v>
      </c>
      <c r="G34" s="34">
        <v>99.4</v>
      </c>
      <c r="H34" s="37">
        <f t="shared" si="5"/>
        <v>3538.7791600000005</v>
      </c>
      <c r="I34" s="37">
        <f t="shared" si="6"/>
        <v>109.70215396000002</v>
      </c>
      <c r="J34" s="34">
        <v>3.1</v>
      </c>
      <c r="K34" s="34">
        <f>+LN(2)/(C34)</f>
        <v>6.5004893609673202E-3</v>
      </c>
    </row>
    <row r="36" spans="1:11" x14ac:dyDescent="0.25">
      <c r="A36" s="26" t="s">
        <v>23</v>
      </c>
      <c r="C36" t="s">
        <v>50</v>
      </c>
    </row>
    <row r="37" spans="1:11" x14ac:dyDescent="0.25">
      <c r="A37" s="26" t="s">
        <v>22</v>
      </c>
      <c r="B37" s="58">
        <v>42852</v>
      </c>
      <c r="C37" s="59"/>
    </row>
    <row r="38" spans="1:11" x14ac:dyDescent="0.25">
      <c r="A38" s="27" t="s">
        <v>39</v>
      </c>
      <c r="B38" s="59">
        <v>86400</v>
      </c>
      <c r="C38" s="59"/>
      <c r="D38" t="s">
        <v>38</v>
      </c>
    </row>
    <row r="39" spans="1:11" x14ac:dyDescent="0.25">
      <c r="A39" s="27" t="s">
        <v>40</v>
      </c>
      <c r="B39" s="60">
        <f>+B37-$B$21</f>
        <v>177</v>
      </c>
      <c r="C39" s="59"/>
      <c r="D39" t="s">
        <v>37</v>
      </c>
    </row>
    <row r="40" spans="1:11" x14ac:dyDescent="0.25">
      <c r="A40" s="25"/>
    </row>
    <row r="41" spans="1:11" ht="45" x14ac:dyDescent="0.25">
      <c r="A41" s="23" t="s">
        <v>21</v>
      </c>
      <c r="B41" s="24" t="s">
        <v>9</v>
      </c>
      <c r="C41" s="24" t="s">
        <v>10</v>
      </c>
      <c r="D41" s="1" t="s">
        <v>41</v>
      </c>
      <c r="E41" s="28" t="s">
        <v>42</v>
      </c>
      <c r="F41" s="29" t="s">
        <v>43</v>
      </c>
      <c r="G41" s="40"/>
    </row>
    <row r="42" spans="1:11" x14ac:dyDescent="0.25">
      <c r="A42" s="23" t="s">
        <v>20</v>
      </c>
      <c r="B42" s="22">
        <f>+H23*EXP(-K23*$B$39)</f>
        <v>391.43663386189877</v>
      </c>
      <c r="C42" s="21">
        <f>+$B$38*B42</f>
        <v>33820125.165668055</v>
      </c>
      <c r="D42" s="6">
        <f>+K7</f>
        <v>121890</v>
      </c>
      <c r="E42" s="4">
        <f>+B23</f>
        <v>60</v>
      </c>
      <c r="F42" s="30">
        <f>+D42/C42</f>
        <v>3.6040670873605943E-3</v>
      </c>
    </row>
    <row r="43" spans="1:11" x14ac:dyDescent="0.25">
      <c r="A43" s="23" t="s">
        <v>19</v>
      </c>
      <c r="B43" s="22">
        <f t="shared" ref="B43:B53" si="8">+H24*EXP(-K24*$B$39)</f>
        <v>278.87945159307634</v>
      </c>
      <c r="C43" s="21">
        <f t="shared" ref="C43:C53" si="9">+$B$38*B43</f>
        <v>24095184.617641795</v>
      </c>
      <c r="D43" s="6">
        <f t="shared" ref="D43:D53" si="10">+K8</f>
        <v>353570</v>
      </c>
      <c r="E43" s="4">
        <f t="shared" ref="E43:E53" si="11">+B24</f>
        <v>88</v>
      </c>
      <c r="F43" s="30">
        <f t="shared" ref="F43:F53" si="12">+D43/C43</f>
        <v>1.4673886322544559E-2</v>
      </c>
    </row>
    <row r="44" spans="1:11" x14ac:dyDescent="0.25">
      <c r="A44" s="23" t="s">
        <v>18</v>
      </c>
      <c r="B44" s="22">
        <f t="shared" si="8"/>
        <v>205.49794056584378</v>
      </c>
      <c r="C44" s="21">
        <f t="shared" si="9"/>
        <v>17755022.064888902</v>
      </c>
      <c r="D44" s="6">
        <f t="shared" si="10"/>
        <v>320230</v>
      </c>
      <c r="E44" s="4">
        <f t="shared" si="11"/>
        <v>122</v>
      </c>
      <c r="F44" s="30">
        <f t="shared" si="12"/>
        <v>1.8036023770044454E-2</v>
      </c>
    </row>
    <row r="45" spans="1:11" x14ac:dyDescent="0.25">
      <c r="A45" s="23" t="s">
        <v>17</v>
      </c>
      <c r="B45" s="22">
        <f t="shared" si="8"/>
        <v>156.46118219074876</v>
      </c>
      <c r="C45" s="21">
        <f t="shared" si="9"/>
        <v>13518246.141280692</v>
      </c>
      <c r="D45" s="6">
        <f t="shared" si="10"/>
        <v>240460</v>
      </c>
      <c r="E45" s="4">
        <f t="shared" si="11"/>
        <v>159</v>
      </c>
      <c r="F45" s="30">
        <f t="shared" si="12"/>
        <v>1.7787810451661099E-2</v>
      </c>
    </row>
    <row r="46" spans="1:11" x14ac:dyDescent="0.25">
      <c r="A46" s="23" t="s">
        <v>16</v>
      </c>
      <c r="B46" s="22">
        <f t="shared" si="8"/>
        <v>14.757666816975554</v>
      </c>
      <c r="C46" s="21">
        <f t="shared" si="9"/>
        <v>1275062.4129866879</v>
      </c>
      <c r="D46" s="6">
        <f t="shared" si="10"/>
        <v>21690</v>
      </c>
      <c r="E46" s="4">
        <f t="shared" si="11"/>
        <v>320</v>
      </c>
      <c r="F46" s="30">
        <f t="shared" si="12"/>
        <v>1.7010931997590344E-2</v>
      </c>
    </row>
    <row r="47" spans="1:11" x14ac:dyDescent="0.25">
      <c r="A47" s="23" t="s">
        <v>15</v>
      </c>
      <c r="B47" s="22">
        <f t="shared" si="8"/>
        <v>422.49367689209652</v>
      </c>
      <c r="C47" s="21">
        <f t="shared" si="9"/>
        <v>36503453.683477141</v>
      </c>
      <c r="D47" s="6">
        <f t="shared" si="10"/>
        <v>488850</v>
      </c>
      <c r="E47" s="4">
        <f t="shared" si="11"/>
        <v>392</v>
      </c>
      <c r="F47" s="30">
        <f t="shared" si="12"/>
        <v>1.3391883525291531E-2</v>
      </c>
    </row>
    <row r="48" spans="1:11" x14ac:dyDescent="0.25">
      <c r="A48" s="23" t="s">
        <v>14</v>
      </c>
      <c r="B48" s="22">
        <f t="shared" si="8"/>
        <v>338.77847571024495</v>
      </c>
      <c r="C48" s="21">
        <f t="shared" si="9"/>
        <v>29270460.301365163</v>
      </c>
      <c r="D48" s="6">
        <f t="shared" si="10"/>
        <v>388610</v>
      </c>
      <c r="E48" s="4">
        <f t="shared" si="11"/>
        <v>514</v>
      </c>
      <c r="F48" s="30">
        <f t="shared" si="12"/>
        <v>1.3276525069948263E-2</v>
      </c>
    </row>
    <row r="49" spans="1:6" x14ac:dyDescent="0.25">
      <c r="A49" s="23" t="s">
        <v>13</v>
      </c>
      <c r="B49" s="22">
        <f t="shared" si="8"/>
        <v>1346.7247761770957</v>
      </c>
      <c r="C49" s="21">
        <f t="shared" si="9"/>
        <v>116357020.66170107</v>
      </c>
      <c r="D49" s="6">
        <f t="shared" si="10"/>
        <v>1178070</v>
      </c>
      <c r="E49" s="4">
        <f t="shared" si="11"/>
        <v>662</v>
      </c>
      <c r="F49" s="30">
        <f t="shared" si="12"/>
        <v>1.0124614684189502E-2</v>
      </c>
    </row>
    <row r="50" spans="1:6" x14ac:dyDescent="0.25">
      <c r="A50" s="23" t="s">
        <v>11</v>
      </c>
      <c r="B50" s="22">
        <f t="shared" si="8"/>
        <v>1059.013536970926</v>
      </c>
      <c r="C50" s="21">
        <f t="shared" si="9"/>
        <v>91498769.594288006</v>
      </c>
      <c r="D50" s="6">
        <f t="shared" si="10"/>
        <v>776530</v>
      </c>
      <c r="E50" s="4">
        <f t="shared" si="11"/>
        <v>898</v>
      </c>
      <c r="F50" s="30">
        <f t="shared" si="12"/>
        <v>8.4867807888913561E-3</v>
      </c>
    </row>
    <row r="51" spans="1:6" x14ac:dyDescent="0.25">
      <c r="A51" s="23" t="s">
        <v>12</v>
      </c>
      <c r="B51" s="22">
        <f t="shared" si="8"/>
        <v>1768.3129647290932</v>
      </c>
      <c r="C51" s="21">
        <f t="shared" si="9"/>
        <v>152782240.15259364</v>
      </c>
      <c r="D51" s="6">
        <f t="shared" si="10"/>
        <v>1125550</v>
      </c>
      <c r="E51" s="4">
        <f t="shared" si="11"/>
        <v>1173</v>
      </c>
      <c r="F51" s="30">
        <f t="shared" si="12"/>
        <v>7.3670211856812634E-3</v>
      </c>
    </row>
    <row r="52" spans="1:6" x14ac:dyDescent="0.25">
      <c r="A52" s="23" t="s">
        <v>12</v>
      </c>
      <c r="B52" s="22">
        <f t="shared" si="8"/>
        <v>1770.4379152174517</v>
      </c>
      <c r="C52" s="21">
        <f t="shared" si="9"/>
        <v>152965835.87478784</v>
      </c>
      <c r="D52" s="6">
        <f t="shared" si="10"/>
        <v>1072223</v>
      </c>
      <c r="E52" s="4">
        <f t="shared" si="11"/>
        <v>1333</v>
      </c>
      <c r="F52" s="30">
        <f t="shared" si="12"/>
        <v>7.0095586630055219E-3</v>
      </c>
    </row>
    <row r="53" spans="1:6" x14ac:dyDescent="0.25">
      <c r="A53" s="23" t="s">
        <v>11</v>
      </c>
      <c r="B53" s="22">
        <f t="shared" si="8"/>
        <v>1119.8504848394689</v>
      </c>
      <c r="C53" s="21">
        <f t="shared" si="9"/>
        <v>96755081.890130118</v>
      </c>
      <c r="D53" s="6">
        <f t="shared" si="10"/>
        <v>543841</v>
      </c>
      <c r="E53" s="4">
        <f t="shared" si="11"/>
        <v>1836</v>
      </c>
      <c r="F53" s="30">
        <f t="shared" si="12"/>
        <v>5.620800369096444E-3</v>
      </c>
    </row>
  </sheetData>
  <mergeCells count="4">
    <mergeCell ref="A1:N2"/>
    <mergeCell ref="B37:C37"/>
    <mergeCell ref="B38:C38"/>
    <mergeCell ref="B39:C39"/>
  </mergeCells>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zoomScale="85" zoomScaleNormal="85" workbookViewId="0">
      <selection activeCell="B37" sqref="B37:C37"/>
    </sheetView>
  </sheetViews>
  <sheetFormatPr defaultRowHeight="15" x14ac:dyDescent="0.25"/>
  <cols>
    <col min="3" max="3" width="12" customWidth="1"/>
    <col min="4" max="4" width="10.7109375" bestFit="1" customWidth="1"/>
    <col min="9" max="9" width="10.5703125" bestFit="1" customWidth="1"/>
    <col min="10" max="10" width="11.140625" customWidth="1"/>
    <col min="11" max="12" width="10.5703125" bestFit="1" customWidth="1"/>
    <col min="16" max="16" width="10.7109375" bestFit="1" customWidth="1"/>
  </cols>
  <sheetData>
    <row r="1" spans="1:17" x14ac:dyDescent="0.25">
      <c r="A1" s="57" t="s">
        <v>51</v>
      </c>
      <c r="B1" s="57"/>
      <c r="C1" s="57"/>
      <c r="D1" s="57"/>
      <c r="E1" s="57"/>
      <c r="F1" s="57"/>
      <c r="G1" s="57"/>
      <c r="H1" s="57"/>
      <c r="I1" s="57"/>
      <c r="J1" s="57"/>
      <c r="K1" s="57"/>
      <c r="L1" s="57"/>
      <c r="M1" s="57"/>
      <c r="N1" s="57"/>
    </row>
    <row r="2" spans="1:17" x14ac:dyDescent="0.25">
      <c r="A2" s="57"/>
      <c r="B2" s="57"/>
      <c r="C2" s="57"/>
      <c r="D2" s="57"/>
      <c r="E2" s="57"/>
      <c r="F2" s="57"/>
      <c r="G2" s="57"/>
      <c r="H2" s="57"/>
      <c r="I2" s="57"/>
      <c r="J2" s="57"/>
      <c r="K2" s="57"/>
      <c r="L2" s="57"/>
      <c r="M2" s="57"/>
      <c r="N2" s="57"/>
    </row>
    <row r="4" spans="1:17" ht="15.75" thickBot="1" x14ac:dyDescent="0.3"/>
    <row r="5" spans="1:17" x14ac:dyDescent="0.25">
      <c r="A5" s="9" t="s">
        <v>8</v>
      </c>
      <c r="B5" s="10"/>
      <c r="C5" s="10"/>
      <c r="D5" s="10"/>
      <c r="E5" s="10"/>
      <c r="F5" s="10"/>
      <c r="G5" s="10"/>
      <c r="H5" s="10"/>
      <c r="I5" s="10"/>
      <c r="J5" s="10"/>
      <c r="K5" s="10"/>
      <c r="L5" s="10"/>
      <c r="M5" s="10"/>
      <c r="N5" s="11"/>
    </row>
    <row r="6" spans="1:17" ht="45" x14ac:dyDescent="0.25">
      <c r="A6" s="12" t="s">
        <v>0</v>
      </c>
      <c r="B6" s="2" t="s">
        <v>3</v>
      </c>
      <c r="C6" s="1" t="s">
        <v>5</v>
      </c>
      <c r="D6" s="2" t="s">
        <v>4</v>
      </c>
      <c r="E6" s="1" t="s">
        <v>6</v>
      </c>
      <c r="F6" s="1" t="s">
        <v>7</v>
      </c>
      <c r="G6" s="3" t="s">
        <v>1</v>
      </c>
      <c r="H6" s="3" t="s">
        <v>2</v>
      </c>
      <c r="I6" s="1" t="s">
        <v>49</v>
      </c>
      <c r="J6" s="1" t="s">
        <v>48</v>
      </c>
      <c r="K6" s="44" t="s">
        <v>45</v>
      </c>
      <c r="L6" s="44" t="s">
        <v>46</v>
      </c>
      <c r="M6" s="45" t="s">
        <v>47</v>
      </c>
      <c r="N6" s="31" t="s">
        <v>44</v>
      </c>
      <c r="O6" s="7"/>
      <c r="P6" s="7"/>
      <c r="Q6" s="8"/>
    </row>
    <row r="7" spans="1:17" x14ac:dyDescent="0.25">
      <c r="A7" s="13">
        <v>60</v>
      </c>
      <c r="B7" s="5">
        <v>188</v>
      </c>
      <c r="C7" s="4">
        <v>2018</v>
      </c>
      <c r="D7" s="5">
        <v>281</v>
      </c>
      <c r="E7" s="4">
        <v>1971</v>
      </c>
      <c r="F7" s="4">
        <f>+D7-B7+1</f>
        <v>94</v>
      </c>
      <c r="G7" s="3">
        <v>-0.50539999999999996</v>
      </c>
      <c r="H7" s="3">
        <v>2113</v>
      </c>
      <c r="I7" s="6">
        <f>2.3031*10^5</f>
        <v>230310.00000000003</v>
      </c>
      <c r="J7" s="6">
        <f>1.8748*10^5</f>
        <v>187480</v>
      </c>
      <c r="K7" s="46">
        <f>+I7-J7</f>
        <v>42830.000000000029</v>
      </c>
      <c r="L7" s="46">
        <f>+SQRT(I7+J7)</f>
        <v>646.36676894778554</v>
      </c>
      <c r="M7" s="45">
        <f>100*L7/K7</f>
        <v>1.5091449193270723</v>
      </c>
      <c r="N7" s="14">
        <f>+K7/86400</f>
        <v>0.4957175925925929</v>
      </c>
      <c r="P7" s="39"/>
    </row>
    <row r="8" spans="1:17" x14ac:dyDescent="0.25">
      <c r="A8" s="13">
        <v>88</v>
      </c>
      <c r="B8" s="5">
        <v>285</v>
      </c>
      <c r="C8" s="4">
        <v>2026</v>
      </c>
      <c r="D8" s="5">
        <v>410</v>
      </c>
      <c r="E8" s="4">
        <v>2177</v>
      </c>
      <c r="F8" s="4">
        <f t="shared" ref="F8:F18" si="0">+D8-B8+1</f>
        <v>126</v>
      </c>
      <c r="G8" s="3">
        <v>1.208</v>
      </c>
      <c r="H8" s="3">
        <v>1682</v>
      </c>
      <c r="I8" s="6">
        <f>3.6688*10^5</f>
        <v>366880</v>
      </c>
      <c r="J8" s="6">
        <f>2.6582*10^5</f>
        <v>265820</v>
      </c>
      <c r="K8" s="46">
        <f t="shared" ref="K8:K18" si="1">+I8-J8</f>
        <v>101060</v>
      </c>
      <c r="L8" s="46">
        <f t="shared" ref="L8:L18" si="2">+SQRT(I8+J8)</f>
        <v>795.42441501377107</v>
      </c>
      <c r="M8" s="45">
        <f t="shared" ref="M8:M18" si="3">100*L8/K8</f>
        <v>0.78708135267541168</v>
      </c>
      <c r="N8" s="14">
        <f t="shared" ref="N8:N18" si="4">+K8/86400</f>
        <v>1.169675925925926</v>
      </c>
      <c r="P8" s="39"/>
    </row>
    <row r="9" spans="1:17" x14ac:dyDescent="0.25">
      <c r="A9" s="13">
        <v>122</v>
      </c>
      <c r="B9" s="5">
        <v>419</v>
      </c>
      <c r="C9" s="4">
        <v>2219</v>
      </c>
      <c r="D9" s="5">
        <v>545</v>
      </c>
      <c r="E9" s="4">
        <v>2258</v>
      </c>
      <c r="F9" s="4">
        <f t="shared" si="0"/>
        <v>127</v>
      </c>
      <c r="G9" s="3">
        <v>0.3095</v>
      </c>
      <c r="H9" s="3">
        <v>2089</v>
      </c>
      <c r="I9" s="6">
        <f>3.7787*10^5</f>
        <v>377870</v>
      </c>
      <c r="J9" s="6">
        <f>2.8425*10^5</f>
        <v>284250</v>
      </c>
      <c r="K9" s="46">
        <f t="shared" si="1"/>
        <v>93620</v>
      </c>
      <c r="L9" s="46">
        <f t="shared" si="2"/>
        <v>813.70756417769644</v>
      </c>
      <c r="M9" s="45">
        <f t="shared" si="3"/>
        <v>0.8691599702816668</v>
      </c>
      <c r="N9" s="14">
        <f t="shared" si="4"/>
        <v>1.0835648148148149</v>
      </c>
      <c r="P9" s="39"/>
    </row>
    <row r="10" spans="1:17" x14ac:dyDescent="0.25">
      <c r="A10" s="13">
        <v>159</v>
      </c>
      <c r="B10" s="5">
        <v>606</v>
      </c>
      <c r="C10" s="4">
        <v>2193</v>
      </c>
      <c r="D10" s="5">
        <v>706</v>
      </c>
      <c r="E10" s="4">
        <v>2259</v>
      </c>
      <c r="F10" s="4">
        <f t="shared" si="0"/>
        <v>101</v>
      </c>
      <c r="G10" s="3">
        <v>0.66</v>
      </c>
      <c r="H10" s="3">
        <v>1793</v>
      </c>
      <c r="I10" s="6">
        <f>3.0098*10^5</f>
        <v>300980</v>
      </c>
      <c r="J10" s="6">
        <f>2.2482*10^5</f>
        <v>224820.00000000003</v>
      </c>
      <c r="K10" s="46">
        <f t="shared" si="1"/>
        <v>76159.999999999971</v>
      </c>
      <c r="L10" s="46">
        <f t="shared" si="2"/>
        <v>725.12067961133198</v>
      </c>
      <c r="M10" s="45">
        <f t="shared" si="3"/>
        <v>0.95210173268294684</v>
      </c>
      <c r="N10" s="14">
        <f t="shared" si="4"/>
        <v>0.8814814814814812</v>
      </c>
      <c r="P10" s="39"/>
    </row>
    <row r="11" spans="1:17" x14ac:dyDescent="0.25">
      <c r="A11" s="13">
        <v>320</v>
      </c>
      <c r="B11" s="5">
        <v>1304</v>
      </c>
      <c r="C11" s="4">
        <v>1669</v>
      </c>
      <c r="D11" s="5">
        <v>1362</v>
      </c>
      <c r="E11" s="4">
        <v>1576</v>
      </c>
      <c r="F11" s="4">
        <f t="shared" si="0"/>
        <v>59</v>
      </c>
      <c r="G11" s="3">
        <v>-1.603</v>
      </c>
      <c r="H11" s="3">
        <v>3760</v>
      </c>
      <c r="I11" s="6">
        <f>1.0246*10^5</f>
        <v>102460</v>
      </c>
      <c r="J11" s="6">
        <f>9.5769*10^4</f>
        <v>95769</v>
      </c>
      <c r="K11" s="46">
        <f t="shared" si="1"/>
        <v>6691</v>
      </c>
      <c r="L11" s="46">
        <f t="shared" si="2"/>
        <v>445.22915448115032</v>
      </c>
      <c r="M11" s="45">
        <f t="shared" si="3"/>
        <v>6.6541496709184029</v>
      </c>
      <c r="N11" s="14">
        <f t="shared" si="4"/>
        <v>7.7442129629629625E-2</v>
      </c>
      <c r="P11" s="39"/>
    </row>
    <row r="12" spans="1:17" x14ac:dyDescent="0.25">
      <c r="A12" s="13">
        <v>392</v>
      </c>
      <c r="B12" s="5">
        <v>1566</v>
      </c>
      <c r="C12" s="4">
        <v>1317</v>
      </c>
      <c r="D12" s="5">
        <v>1681</v>
      </c>
      <c r="E12" s="4">
        <v>1167</v>
      </c>
      <c r="F12" s="4">
        <f t="shared" si="0"/>
        <v>116</v>
      </c>
      <c r="G12" s="3">
        <v>-1.304</v>
      </c>
      <c r="H12" s="3">
        <v>3360</v>
      </c>
      <c r="I12" s="6">
        <f>2.9028*10^5</f>
        <v>290280</v>
      </c>
      <c r="J12" s="6">
        <f>1.4418*10^5</f>
        <v>144180</v>
      </c>
      <c r="K12" s="46">
        <f t="shared" si="1"/>
        <v>146100</v>
      </c>
      <c r="L12" s="46">
        <f t="shared" si="2"/>
        <v>659.13579784441993</v>
      </c>
      <c r="M12" s="45">
        <f t="shared" si="3"/>
        <v>0.45115386573882266</v>
      </c>
      <c r="N12" s="14">
        <f t="shared" si="4"/>
        <v>1.6909722222222223</v>
      </c>
      <c r="P12" s="39"/>
    </row>
    <row r="13" spans="1:17" x14ac:dyDescent="0.25">
      <c r="A13" s="13">
        <v>514</v>
      </c>
      <c r="B13" s="5">
        <v>2082</v>
      </c>
      <c r="C13" s="4">
        <v>888.3</v>
      </c>
      <c r="D13" s="5">
        <v>2195</v>
      </c>
      <c r="E13" s="4">
        <v>731.9</v>
      </c>
      <c r="F13" s="4">
        <f t="shared" si="0"/>
        <v>114</v>
      </c>
      <c r="G13" s="3">
        <v>-1.3839999999999999</v>
      </c>
      <c r="H13" s="3">
        <v>3770</v>
      </c>
      <c r="I13" s="6">
        <f>2.139*10^5</f>
        <v>213899.99999999997</v>
      </c>
      <c r="J13" s="6">
        <f>9.2376*10^4</f>
        <v>92376</v>
      </c>
      <c r="K13" s="46">
        <f t="shared" si="1"/>
        <v>121523.99999999997</v>
      </c>
      <c r="L13" s="46">
        <f t="shared" si="2"/>
        <v>553.4220812363742</v>
      </c>
      <c r="M13" s="45">
        <f t="shared" si="3"/>
        <v>0.45540146904016848</v>
      </c>
      <c r="N13" s="14">
        <f t="shared" si="4"/>
        <v>1.4065277777777774</v>
      </c>
      <c r="P13" s="39"/>
    </row>
    <row r="14" spans="1:17" x14ac:dyDescent="0.25">
      <c r="A14" s="13">
        <v>662</v>
      </c>
      <c r="B14" s="5">
        <v>2675</v>
      </c>
      <c r="C14" s="4">
        <v>721.8</v>
      </c>
      <c r="D14" s="5">
        <v>2808</v>
      </c>
      <c r="E14" s="4">
        <v>696.2</v>
      </c>
      <c r="F14" s="4">
        <f t="shared" si="0"/>
        <v>134</v>
      </c>
      <c r="G14" s="3">
        <v>-0.1925</v>
      </c>
      <c r="H14" s="3">
        <v>1237</v>
      </c>
      <c r="I14" s="6">
        <f>4.4287*10^5</f>
        <v>442870</v>
      </c>
      <c r="J14" s="6">
        <f>9.5041*10^4</f>
        <v>95041</v>
      </c>
      <c r="K14" s="46">
        <f t="shared" si="1"/>
        <v>347829</v>
      </c>
      <c r="L14" s="46">
        <f t="shared" si="2"/>
        <v>733.42416104188987</v>
      </c>
      <c r="M14" s="45">
        <f t="shared" si="3"/>
        <v>0.21085768036647026</v>
      </c>
      <c r="N14" s="14">
        <f t="shared" si="4"/>
        <v>4.025798611111111</v>
      </c>
      <c r="P14" s="39"/>
    </row>
    <row r="15" spans="1:17" x14ac:dyDescent="0.25">
      <c r="A15" s="13">
        <v>898</v>
      </c>
      <c r="B15" s="5">
        <v>3666</v>
      </c>
      <c r="C15" s="4">
        <v>569.5</v>
      </c>
      <c r="D15" s="5">
        <v>3795</v>
      </c>
      <c r="E15" s="4">
        <v>614.6</v>
      </c>
      <c r="F15" s="4">
        <f t="shared" si="0"/>
        <v>130</v>
      </c>
      <c r="G15" s="3">
        <v>0.34960000000000002</v>
      </c>
      <c r="H15" s="3">
        <v>-712.2</v>
      </c>
      <c r="I15" s="6">
        <f>3.155*10^5</f>
        <v>315500</v>
      </c>
      <c r="J15" s="6">
        <f>7.6958*10^4</f>
        <v>76958</v>
      </c>
      <c r="K15" s="46">
        <f t="shared" si="1"/>
        <v>238542</v>
      </c>
      <c r="L15" s="46">
        <f t="shared" si="2"/>
        <v>626.46468376118378</v>
      </c>
      <c r="M15" s="45">
        <f t="shared" si="3"/>
        <v>0.26262238254109704</v>
      </c>
      <c r="N15" s="14">
        <f t="shared" si="4"/>
        <v>2.7609027777777779</v>
      </c>
      <c r="P15" s="39"/>
    </row>
    <row r="16" spans="1:17" x14ac:dyDescent="0.25">
      <c r="A16" s="13">
        <v>1173</v>
      </c>
      <c r="B16" s="5">
        <v>4820</v>
      </c>
      <c r="C16" s="4">
        <v>309</v>
      </c>
      <c r="D16" s="5">
        <v>4953</v>
      </c>
      <c r="E16" s="4">
        <v>220.4</v>
      </c>
      <c r="F16" s="4">
        <f t="shared" si="0"/>
        <v>134</v>
      </c>
      <c r="G16" s="3">
        <v>-0.66620000000000001</v>
      </c>
      <c r="H16" s="3">
        <v>3520</v>
      </c>
      <c r="I16" s="6">
        <f>3.7802*10^5</f>
        <v>378020</v>
      </c>
      <c r="J16" s="6">
        <f>3.5458*10^4</f>
        <v>35458</v>
      </c>
      <c r="K16" s="46">
        <f t="shared" si="1"/>
        <v>342562</v>
      </c>
      <c r="L16" s="46">
        <f t="shared" si="2"/>
        <v>643.0225501489042</v>
      </c>
      <c r="M16" s="45">
        <f t="shared" si="3"/>
        <v>0.18770983067266778</v>
      </c>
      <c r="N16" s="14">
        <f t="shared" si="4"/>
        <v>3.9648379629629629</v>
      </c>
      <c r="P16" s="39"/>
    </row>
    <row r="17" spans="1:16" x14ac:dyDescent="0.25">
      <c r="A17" s="13">
        <v>1333</v>
      </c>
      <c r="B17" s="5">
        <v>5452</v>
      </c>
      <c r="C17" s="4">
        <v>138.30000000000001</v>
      </c>
      <c r="D17" s="5">
        <v>5622</v>
      </c>
      <c r="E17" s="4">
        <v>85.61</v>
      </c>
      <c r="F17" s="4">
        <f t="shared" si="0"/>
        <v>171</v>
      </c>
      <c r="G17" s="3">
        <v>-0.30990000000000001</v>
      </c>
      <c r="H17" s="3">
        <v>1828</v>
      </c>
      <c r="I17" s="6">
        <f>3.4559*10^5</f>
        <v>345590</v>
      </c>
      <c r="J17" s="6">
        <f>1.9166*10^4</f>
        <v>19166</v>
      </c>
      <c r="K17" s="46">
        <f t="shared" si="1"/>
        <v>326424</v>
      </c>
      <c r="L17" s="46">
        <f t="shared" si="2"/>
        <v>603.95032908344376</v>
      </c>
      <c r="M17" s="45">
        <f t="shared" si="3"/>
        <v>0.185020197376248</v>
      </c>
      <c r="N17" s="14">
        <f t="shared" si="4"/>
        <v>3.7780555555555555</v>
      </c>
      <c r="P17" s="39"/>
    </row>
    <row r="18" spans="1:16" ht="15.75" thickBot="1" x14ac:dyDescent="0.3">
      <c r="A18" s="15">
        <v>1836</v>
      </c>
      <c r="B18" s="16">
        <v>7532</v>
      </c>
      <c r="C18" s="17">
        <v>24.09</v>
      </c>
      <c r="D18" s="16">
        <v>7727</v>
      </c>
      <c r="E18" s="17">
        <v>6.4669999999999996</v>
      </c>
      <c r="F18" s="17">
        <f t="shared" si="0"/>
        <v>196</v>
      </c>
      <c r="G18" s="18">
        <v>-9.0370000000000006E-2</v>
      </c>
      <c r="H18" s="18">
        <v>704.8</v>
      </c>
      <c r="I18" s="19">
        <f>1.7044*10^5</f>
        <v>170440</v>
      </c>
      <c r="J18" s="19">
        <f>3.0031*10^3</f>
        <v>3003.1</v>
      </c>
      <c r="K18" s="47">
        <f t="shared" si="1"/>
        <v>167436.9</v>
      </c>
      <c r="L18" s="47">
        <f t="shared" si="2"/>
        <v>416.46500453219357</v>
      </c>
      <c r="M18" s="48">
        <f t="shared" si="3"/>
        <v>0.24872952409665586</v>
      </c>
      <c r="N18" s="20">
        <f t="shared" si="4"/>
        <v>1.9379270833333333</v>
      </c>
      <c r="P18" s="39"/>
    </row>
    <row r="21" spans="1:16" x14ac:dyDescent="0.25">
      <c r="A21" s="32" t="s">
        <v>34</v>
      </c>
      <c r="B21" s="33">
        <v>42675</v>
      </c>
      <c r="C21" s="32"/>
      <c r="D21" s="32"/>
      <c r="E21" s="32"/>
      <c r="F21" s="32"/>
      <c r="G21" s="32"/>
      <c r="H21" s="32"/>
      <c r="I21" s="32"/>
      <c r="J21" s="32"/>
      <c r="K21" s="32"/>
    </row>
    <row r="22" spans="1:16" ht="60" x14ac:dyDescent="0.25">
      <c r="A22" s="34" t="s">
        <v>21</v>
      </c>
      <c r="B22" s="35" t="s">
        <v>33</v>
      </c>
      <c r="C22" s="35" t="s">
        <v>32</v>
      </c>
      <c r="D22" s="35" t="s">
        <v>31</v>
      </c>
      <c r="E22" s="35" t="s">
        <v>30</v>
      </c>
      <c r="F22" s="35" t="s">
        <v>29</v>
      </c>
      <c r="G22" s="35" t="s">
        <v>28</v>
      </c>
      <c r="H22" s="35" t="s">
        <v>27</v>
      </c>
      <c r="I22" s="35" t="s">
        <v>26</v>
      </c>
      <c r="J22" s="35" t="s">
        <v>25</v>
      </c>
      <c r="K22" s="35" t="s">
        <v>24</v>
      </c>
    </row>
    <row r="23" spans="1:16" x14ac:dyDescent="0.25">
      <c r="A23" s="34" t="s">
        <v>20</v>
      </c>
      <c r="B23" s="34">
        <v>60</v>
      </c>
      <c r="C23" s="34"/>
      <c r="D23" s="34">
        <v>432.17</v>
      </c>
      <c r="E23" s="34">
        <v>0.66</v>
      </c>
      <c r="F23" s="34">
        <v>2.9409999999999999E-2</v>
      </c>
      <c r="G23" s="36">
        <v>36</v>
      </c>
      <c r="H23" s="36">
        <f t="shared" ref="H23:H34" si="5">+F23*(G23/100)*37*10^9/10^6</f>
        <v>391.74119999999994</v>
      </c>
      <c r="I23" s="37">
        <f t="shared" ref="I23:I34" si="6">+H23*J23/100</f>
        <v>12.1439772</v>
      </c>
      <c r="J23" s="34">
        <v>3.1</v>
      </c>
      <c r="K23" s="34">
        <f>+LN(2)/(365*D23)</f>
        <v>4.3941813901869866E-6</v>
      </c>
    </row>
    <row r="24" spans="1:16" x14ac:dyDescent="0.25">
      <c r="A24" s="34" t="s">
        <v>19</v>
      </c>
      <c r="B24" s="34">
        <v>88</v>
      </c>
      <c r="C24" s="34">
        <v>462.6</v>
      </c>
      <c r="D24" s="34"/>
      <c r="E24" s="34">
        <v>0.7</v>
      </c>
      <c r="F24" s="34">
        <v>0.2707</v>
      </c>
      <c r="G24" s="34">
        <v>3.63</v>
      </c>
      <c r="H24" s="36">
        <f t="shared" si="5"/>
        <v>363.57716999999997</v>
      </c>
      <c r="I24" s="37">
        <f t="shared" si="6"/>
        <v>11.270892269999999</v>
      </c>
      <c r="J24" s="34">
        <v>3.1</v>
      </c>
      <c r="K24" s="34">
        <f t="shared" ref="K24:K29" si="7">+LN(2)/(C24)</f>
        <v>1.4983726341546589E-3</v>
      </c>
    </row>
    <row r="25" spans="1:16" x14ac:dyDescent="0.25">
      <c r="A25" s="34" t="s">
        <v>18</v>
      </c>
      <c r="B25" s="34">
        <v>122</v>
      </c>
      <c r="C25" s="34">
        <v>271.79000000000002</v>
      </c>
      <c r="D25" s="34"/>
      <c r="E25" s="34">
        <v>0.09</v>
      </c>
      <c r="F25" s="34">
        <v>1.0189999999999999E-2</v>
      </c>
      <c r="G25" s="34">
        <v>85.6</v>
      </c>
      <c r="H25" s="36">
        <f t="shared" si="5"/>
        <v>322.73768000000001</v>
      </c>
      <c r="I25" s="37">
        <f t="shared" si="6"/>
        <v>10.327605760000001</v>
      </c>
      <c r="J25" s="34">
        <v>3.2</v>
      </c>
      <c r="K25" s="34">
        <f t="shared" si="7"/>
        <v>2.5503042075129519E-3</v>
      </c>
    </row>
    <row r="26" spans="1:16" x14ac:dyDescent="0.25">
      <c r="A26" s="34" t="s">
        <v>17</v>
      </c>
      <c r="B26" s="34">
        <v>159</v>
      </c>
      <c r="C26" s="34">
        <v>119.7</v>
      </c>
      <c r="D26" s="34"/>
      <c r="E26" s="34">
        <v>0.1</v>
      </c>
      <c r="F26" s="34">
        <v>1.4030000000000001E-2</v>
      </c>
      <c r="G26" s="36">
        <v>84</v>
      </c>
      <c r="H26" s="36">
        <f t="shared" si="5"/>
        <v>436.05239999999998</v>
      </c>
      <c r="I26" s="37">
        <f t="shared" si="6"/>
        <v>13.9536768</v>
      </c>
      <c r="J26" s="34">
        <v>3.2</v>
      </c>
      <c r="K26" s="34">
        <f t="shared" si="7"/>
        <v>5.7907032628232687E-3</v>
      </c>
    </row>
    <row r="27" spans="1:16" x14ac:dyDescent="0.25">
      <c r="A27" s="34" t="s">
        <v>16</v>
      </c>
      <c r="B27" s="34">
        <v>320</v>
      </c>
      <c r="C27" s="34">
        <v>27.706</v>
      </c>
      <c r="D27" s="34"/>
      <c r="E27" s="34">
        <v>7.0000000000000001E-3</v>
      </c>
      <c r="F27" s="34">
        <v>0.33889999999999998</v>
      </c>
      <c r="G27" s="34">
        <v>9.86</v>
      </c>
      <c r="H27" s="37">
        <f t="shared" si="5"/>
        <v>1236.3749799999998</v>
      </c>
      <c r="I27" s="37">
        <f t="shared" si="6"/>
        <v>38.327624379999996</v>
      </c>
      <c r="J27" s="34">
        <v>3.1</v>
      </c>
      <c r="K27" s="34">
        <f t="shared" si="7"/>
        <v>2.5017944869701339E-2</v>
      </c>
    </row>
    <row r="28" spans="1:16" x14ac:dyDescent="0.25">
      <c r="A28" s="34" t="s">
        <v>15</v>
      </c>
      <c r="B28" s="34">
        <v>392</v>
      </c>
      <c r="C28" s="34">
        <v>115.09</v>
      </c>
      <c r="D28" s="34"/>
      <c r="E28" s="34">
        <v>0.04</v>
      </c>
      <c r="F28" s="34">
        <v>5.1090000000000003E-2</v>
      </c>
      <c r="G28" s="34">
        <v>64.900000000000006</v>
      </c>
      <c r="H28" s="37">
        <f t="shared" si="5"/>
        <v>1226.8241700000003</v>
      </c>
      <c r="I28" s="37">
        <f t="shared" si="6"/>
        <v>38.031549270000006</v>
      </c>
      <c r="J28" s="34">
        <v>3.1</v>
      </c>
      <c r="K28" s="34">
        <f t="shared" si="7"/>
        <v>6.022653406550919E-3</v>
      </c>
    </row>
    <row r="29" spans="1:16" x14ac:dyDescent="0.25">
      <c r="A29" s="34" t="s">
        <v>14</v>
      </c>
      <c r="B29" s="34">
        <v>514</v>
      </c>
      <c r="C29" s="34">
        <v>64.849000000000004</v>
      </c>
      <c r="D29" s="34"/>
      <c r="E29" s="34">
        <v>4.0000000000000001E-3</v>
      </c>
      <c r="F29" s="34">
        <v>6.1710000000000001E-2</v>
      </c>
      <c r="G29" s="34">
        <v>98.4</v>
      </c>
      <c r="H29" s="37">
        <f t="shared" si="5"/>
        <v>2246.7376800000006</v>
      </c>
      <c r="I29" s="37">
        <f t="shared" si="6"/>
        <v>69.648868080000014</v>
      </c>
      <c r="J29" s="34">
        <v>3.1</v>
      </c>
      <c r="K29" s="34">
        <f t="shared" si="7"/>
        <v>1.0688633295192604E-2</v>
      </c>
    </row>
    <row r="30" spans="1:16" x14ac:dyDescent="0.25">
      <c r="A30" s="34" t="s">
        <v>13</v>
      </c>
      <c r="B30" s="34">
        <v>662</v>
      </c>
      <c r="C30" s="34"/>
      <c r="D30" s="34">
        <v>30.17</v>
      </c>
      <c r="E30" s="34">
        <v>0.16</v>
      </c>
      <c r="F30" s="34">
        <v>4.3249999999999997E-2</v>
      </c>
      <c r="G30" s="34">
        <v>85.1</v>
      </c>
      <c r="H30" s="37">
        <f t="shared" si="5"/>
        <v>1361.8127500000001</v>
      </c>
      <c r="I30" s="37">
        <f t="shared" si="6"/>
        <v>42.216195249999998</v>
      </c>
      <c r="J30" s="34">
        <v>3.1</v>
      </c>
      <c r="K30" s="34">
        <f>+LN(2)/(365*D30)</f>
        <v>6.294442729191615E-5</v>
      </c>
    </row>
    <row r="31" spans="1:16" x14ac:dyDescent="0.25">
      <c r="A31" s="34" t="s">
        <v>11</v>
      </c>
      <c r="B31" s="34">
        <v>898</v>
      </c>
      <c r="C31" s="34">
        <v>106.63</v>
      </c>
      <c r="D31" s="34"/>
      <c r="E31" s="34">
        <v>2.5000000000000001E-2</v>
      </c>
      <c r="F31" s="34">
        <v>9.622E-2</v>
      </c>
      <c r="G31" s="36">
        <v>94</v>
      </c>
      <c r="H31" s="37">
        <f t="shared" si="5"/>
        <v>3346.5315999999993</v>
      </c>
      <c r="I31" s="37">
        <f t="shared" si="6"/>
        <v>103.74247959999998</v>
      </c>
      <c r="J31" s="34">
        <v>3.1</v>
      </c>
      <c r="K31" s="34">
        <f>+LN(2)/(C31)</f>
        <v>6.5004893609673202E-3</v>
      </c>
    </row>
    <row r="32" spans="1:16" x14ac:dyDescent="0.25">
      <c r="A32" s="34" t="s">
        <v>12</v>
      </c>
      <c r="B32" s="34">
        <v>1173</v>
      </c>
      <c r="C32" s="34"/>
      <c r="D32" s="34">
        <v>5.2720000000000002</v>
      </c>
      <c r="E32" s="34">
        <v>1E-3</v>
      </c>
      <c r="F32" s="34">
        <v>5.101E-2</v>
      </c>
      <c r="G32" s="34">
        <v>99.86</v>
      </c>
      <c r="H32" s="37">
        <f t="shared" si="5"/>
        <v>1884.727682</v>
      </c>
      <c r="I32" s="37">
        <f t="shared" si="6"/>
        <v>58.426558142000005</v>
      </c>
      <c r="J32" s="34">
        <v>3.1</v>
      </c>
      <c r="K32" s="34">
        <f>+LN(2)/(365*D32)</f>
        <v>3.6021118577335171E-4</v>
      </c>
    </row>
    <row r="33" spans="1:11" x14ac:dyDescent="0.25">
      <c r="A33" s="34" t="s">
        <v>12</v>
      </c>
      <c r="B33" s="34">
        <v>1333</v>
      </c>
      <c r="C33" s="34"/>
      <c r="D33" s="34">
        <v>5.2720000000000002</v>
      </c>
      <c r="E33" s="34">
        <v>1E-3</v>
      </c>
      <c r="F33" s="34">
        <v>5.101E-2</v>
      </c>
      <c r="G33" s="34">
        <v>99.98</v>
      </c>
      <c r="H33" s="37">
        <f t="shared" si="5"/>
        <v>1886.992526</v>
      </c>
      <c r="I33" s="37">
        <f t="shared" si="6"/>
        <v>58.496768306000007</v>
      </c>
      <c r="J33" s="34">
        <v>3.1</v>
      </c>
      <c r="K33" s="34">
        <f>+LN(2)/(365*D33)</f>
        <v>3.6021118577335171E-4</v>
      </c>
    </row>
    <row r="34" spans="1:11" x14ac:dyDescent="0.25">
      <c r="A34" s="34" t="s">
        <v>11</v>
      </c>
      <c r="B34" s="34">
        <v>1836</v>
      </c>
      <c r="C34" s="34">
        <v>106.63</v>
      </c>
      <c r="D34" s="34"/>
      <c r="E34" s="34">
        <v>2.5000000000000001E-2</v>
      </c>
      <c r="F34" s="34">
        <v>9.622E-2</v>
      </c>
      <c r="G34" s="34">
        <v>99.4</v>
      </c>
      <c r="H34" s="37">
        <f t="shared" si="5"/>
        <v>3538.7791600000005</v>
      </c>
      <c r="I34" s="37">
        <f t="shared" si="6"/>
        <v>109.70215396000002</v>
      </c>
      <c r="J34" s="34">
        <v>3.1</v>
      </c>
      <c r="K34" s="34">
        <f>+LN(2)/(C34)</f>
        <v>6.5004893609673202E-3</v>
      </c>
    </row>
    <row r="36" spans="1:11" x14ac:dyDescent="0.25">
      <c r="A36" s="26" t="s">
        <v>23</v>
      </c>
      <c r="C36" t="s">
        <v>50</v>
      </c>
    </row>
    <row r="37" spans="1:11" x14ac:dyDescent="0.25">
      <c r="A37" s="26" t="s">
        <v>22</v>
      </c>
      <c r="B37" s="58">
        <v>42851</v>
      </c>
      <c r="C37" s="59"/>
    </row>
    <row r="38" spans="1:11" x14ac:dyDescent="0.25">
      <c r="A38" s="27" t="s">
        <v>39</v>
      </c>
      <c r="B38" s="59">
        <v>86400</v>
      </c>
      <c r="C38" s="59"/>
      <c r="D38" t="s">
        <v>38</v>
      </c>
    </row>
    <row r="39" spans="1:11" x14ac:dyDescent="0.25">
      <c r="A39" s="27" t="s">
        <v>40</v>
      </c>
      <c r="B39" s="60">
        <f>+B37-$B$21</f>
        <v>176</v>
      </c>
      <c r="C39" s="59"/>
      <c r="D39" t="s">
        <v>37</v>
      </c>
    </row>
    <row r="40" spans="1:11" x14ac:dyDescent="0.25">
      <c r="A40" s="25"/>
    </row>
    <row r="41" spans="1:11" ht="45" x14ac:dyDescent="0.25">
      <c r="A41" s="23" t="s">
        <v>21</v>
      </c>
      <c r="B41" s="24" t="s">
        <v>9</v>
      </c>
      <c r="C41" s="24" t="s">
        <v>10</v>
      </c>
      <c r="D41" s="1" t="s">
        <v>41</v>
      </c>
      <c r="E41" s="28" t="s">
        <v>42</v>
      </c>
      <c r="F41" s="29" t="s">
        <v>43</v>
      </c>
      <c r="G41" s="7"/>
    </row>
    <row r="42" spans="1:11" x14ac:dyDescent="0.25">
      <c r="A42" s="23" t="s">
        <v>20</v>
      </c>
      <c r="B42" s="22">
        <f>+H23*EXP(-K23*$B$39)</f>
        <v>391.43835390924983</v>
      </c>
      <c r="C42" s="21">
        <f>+$B$38*B42</f>
        <v>33820273.777759187</v>
      </c>
      <c r="D42" s="6">
        <f>+K7</f>
        <v>42830.000000000029</v>
      </c>
      <c r="E42" s="4">
        <f>+B23</f>
        <v>60</v>
      </c>
      <c r="F42" s="30">
        <f>+D42/C42</f>
        <v>1.2664001563513598E-3</v>
      </c>
    </row>
    <row r="43" spans="1:11" x14ac:dyDescent="0.25">
      <c r="A43" s="23" t="s">
        <v>19</v>
      </c>
      <c r="B43" s="22">
        <f t="shared" ref="B43:B53" si="8">+H24*EXP(-K24*$B$39)</f>
        <v>279.29763014698369</v>
      </c>
      <c r="C43" s="21">
        <f t="shared" ref="C43:C53" si="9">+$B$38*B43</f>
        <v>24131315.244699392</v>
      </c>
      <c r="D43" s="6">
        <f t="shared" ref="D43:D53" si="10">+K8</f>
        <v>101060</v>
      </c>
      <c r="E43" s="4">
        <f t="shared" ref="E43:E53" si="11">+B24</f>
        <v>88</v>
      </c>
      <c r="F43" s="30">
        <f t="shared" ref="F43:F53" si="12">+D43/C43</f>
        <v>4.1879192648729959E-3</v>
      </c>
    </row>
    <row r="44" spans="1:11" x14ac:dyDescent="0.25">
      <c r="A44" s="23" t="s">
        <v>18</v>
      </c>
      <c r="B44" s="22">
        <f t="shared" si="8"/>
        <v>206.0226916813757</v>
      </c>
      <c r="C44" s="21">
        <f t="shared" si="9"/>
        <v>17800360.561270859</v>
      </c>
      <c r="D44" s="6">
        <f t="shared" si="10"/>
        <v>93620</v>
      </c>
      <c r="E44" s="4">
        <f t="shared" si="11"/>
        <v>122</v>
      </c>
      <c r="F44" s="30">
        <f t="shared" si="12"/>
        <v>5.2594440251785548E-3</v>
      </c>
    </row>
    <row r="45" spans="1:11" x14ac:dyDescent="0.25">
      <c r="A45" s="23" t="s">
        <v>17</v>
      </c>
      <c r="B45" s="22">
        <f t="shared" si="8"/>
        <v>157.36983078707752</v>
      </c>
      <c r="C45" s="21">
        <f t="shared" si="9"/>
        <v>13596753.380003497</v>
      </c>
      <c r="D45" s="6">
        <f t="shared" si="10"/>
        <v>76159.999999999971</v>
      </c>
      <c r="E45" s="4">
        <f t="shared" si="11"/>
        <v>159</v>
      </c>
      <c r="F45" s="30">
        <f t="shared" si="12"/>
        <v>5.6013371627382114E-3</v>
      </c>
    </row>
    <row r="46" spans="1:11" x14ac:dyDescent="0.25">
      <c r="A46" s="23" t="s">
        <v>16</v>
      </c>
      <c r="B46" s="22">
        <f t="shared" si="8"/>
        <v>15.131530462012869</v>
      </c>
      <c r="C46" s="21">
        <f t="shared" si="9"/>
        <v>1307364.2319179119</v>
      </c>
      <c r="D46" s="6">
        <f t="shared" si="10"/>
        <v>6691</v>
      </c>
      <c r="E46" s="4">
        <f t="shared" si="11"/>
        <v>320</v>
      </c>
      <c r="F46" s="30">
        <f t="shared" si="12"/>
        <v>5.1179310529126673E-3</v>
      </c>
    </row>
    <row r="47" spans="1:11" x14ac:dyDescent="0.25">
      <c r="A47" s="23" t="s">
        <v>15</v>
      </c>
      <c r="B47" s="22">
        <f t="shared" si="8"/>
        <v>425.04588770048338</v>
      </c>
      <c r="C47" s="21">
        <f t="shared" si="9"/>
        <v>36723964.697321765</v>
      </c>
      <c r="D47" s="6">
        <f t="shared" si="10"/>
        <v>146100</v>
      </c>
      <c r="E47" s="4">
        <f t="shared" si="11"/>
        <v>392</v>
      </c>
      <c r="F47" s="30">
        <f t="shared" si="12"/>
        <v>3.9783286255760638E-3</v>
      </c>
    </row>
    <row r="48" spans="1:11" x14ac:dyDescent="0.25">
      <c r="A48" s="23" t="s">
        <v>14</v>
      </c>
      <c r="B48" s="22">
        <f t="shared" si="8"/>
        <v>342.41897593177168</v>
      </c>
      <c r="C48" s="21">
        <f t="shared" si="9"/>
        <v>29584999.520505074</v>
      </c>
      <c r="D48" s="6">
        <f t="shared" si="10"/>
        <v>121523.99999999997</v>
      </c>
      <c r="E48" s="4">
        <f t="shared" si="11"/>
        <v>514</v>
      </c>
      <c r="F48" s="30">
        <f t="shared" si="12"/>
        <v>4.1076221723705918E-3</v>
      </c>
    </row>
    <row r="49" spans="1:6" x14ac:dyDescent="0.25">
      <c r="A49" s="23" t="s">
        <v>13</v>
      </c>
      <c r="B49" s="22">
        <f t="shared" si="8"/>
        <v>1346.8095476647704</v>
      </c>
      <c r="C49" s="21">
        <f t="shared" si="9"/>
        <v>116364344.91823617</v>
      </c>
      <c r="D49" s="6">
        <f t="shared" si="10"/>
        <v>347829</v>
      </c>
      <c r="E49" s="4">
        <f t="shared" si="11"/>
        <v>662</v>
      </c>
      <c r="F49" s="30">
        <f t="shared" si="12"/>
        <v>2.989137267471435E-3</v>
      </c>
    </row>
    <row r="50" spans="1:6" x14ac:dyDescent="0.25">
      <c r="A50" s="23" t="s">
        <v>11</v>
      </c>
      <c r="B50" s="22">
        <f t="shared" si="8"/>
        <v>1065.9200667925545</v>
      </c>
      <c r="C50" s="21">
        <f t="shared" si="9"/>
        <v>92095493.770876706</v>
      </c>
      <c r="D50" s="6">
        <f t="shared" si="10"/>
        <v>238542</v>
      </c>
      <c r="E50" s="4">
        <f t="shared" si="11"/>
        <v>898</v>
      </c>
      <c r="F50" s="30">
        <f t="shared" si="12"/>
        <v>2.5901593034884621E-3</v>
      </c>
    </row>
    <row r="51" spans="1:6" x14ac:dyDescent="0.25">
      <c r="A51" s="23" t="s">
        <v>12</v>
      </c>
      <c r="B51" s="22">
        <f t="shared" si="8"/>
        <v>1768.9500455738714</v>
      </c>
      <c r="C51" s="21">
        <f t="shared" si="9"/>
        <v>152837283.93758249</v>
      </c>
      <c r="D51" s="6">
        <f t="shared" si="10"/>
        <v>342562</v>
      </c>
      <c r="E51" s="4">
        <f t="shared" si="11"/>
        <v>1173</v>
      </c>
      <c r="F51" s="30">
        <f t="shared" si="12"/>
        <v>2.2413510052946214E-3</v>
      </c>
    </row>
    <row r="52" spans="1:6" x14ac:dyDescent="0.25">
      <c r="A52" s="23" t="s">
        <v>12</v>
      </c>
      <c r="B52" s="22">
        <f t="shared" si="8"/>
        <v>1771.0757616310402</v>
      </c>
      <c r="C52" s="21">
        <f t="shared" si="9"/>
        <v>153020945.80492187</v>
      </c>
      <c r="D52" s="6">
        <f t="shared" si="10"/>
        <v>326424</v>
      </c>
      <c r="E52" s="4">
        <f t="shared" si="11"/>
        <v>1333</v>
      </c>
      <c r="F52" s="30">
        <f t="shared" si="12"/>
        <v>2.1331981597874864E-3</v>
      </c>
    </row>
    <row r="53" spans="1:6" x14ac:dyDescent="0.25">
      <c r="A53" s="23" t="s">
        <v>11</v>
      </c>
      <c r="B53" s="22">
        <f t="shared" si="8"/>
        <v>1127.1537727572336</v>
      </c>
      <c r="C53" s="21">
        <f t="shared" si="9"/>
        <v>97386085.966224983</v>
      </c>
      <c r="D53" s="6">
        <f t="shared" si="10"/>
        <v>167436.9</v>
      </c>
      <c r="E53" s="4">
        <f t="shared" si="11"/>
        <v>1836</v>
      </c>
      <c r="F53" s="30">
        <f t="shared" si="12"/>
        <v>1.7193102930337474E-3</v>
      </c>
    </row>
  </sheetData>
  <mergeCells count="4">
    <mergeCell ref="A1:N2"/>
    <mergeCell ref="B37:C37"/>
    <mergeCell ref="B38:C38"/>
    <mergeCell ref="B39:C39"/>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5"/>
  <sheetViews>
    <sheetView tabSelected="1" workbookViewId="0">
      <selection activeCell="N10" sqref="N10"/>
    </sheetView>
  </sheetViews>
  <sheetFormatPr defaultRowHeight="15" x14ac:dyDescent="0.25"/>
  <cols>
    <col min="3" max="6" width="9.5703125" bestFit="1" customWidth="1"/>
  </cols>
  <sheetData>
    <row r="1" spans="1:11" x14ac:dyDescent="0.25">
      <c r="B1" s="56">
        <v>42856</v>
      </c>
      <c r="C1" s="56">
        <v>42851</v>
      </c>
      <c r="D1" s="56">
        <v>42850</v>
      </c>
      <c r="E1" s="56">
        <v>42853</v>
      </c>
      <c r="F1" s="56">
        <v>42851</v>
      </c>
    </row>
    <row r="2" spans="1:11" x14ac:dyDescent="0.25">
      <c r="A2" s="4"/>
      <c r="B2" s="4" t="s">
        <v>124</v>
      </c>
      <c r="C2" s="4"/>
      <c r="D2" s="4"/>
      <c r="E2" s="4"/>
      <c r="F2" s="4"/>
      <c r="G2" s="4" t="s">
        <v>121</v>
      </c>
      <c r="H2" s="4"/>
      <c r="I2" s="4"/>
      <c r="J2" s="4"/>
      <c r="K2" s="4"/>
    </row>
    <row r="3" spans="1:11" x14ac:dyDescent="0.25">
      <c r="A3" s="4" t="s">
        <v>120</v>
      </c>
      <c r="B3" s="4" t="s">
        <v>119</v>
      </c>
      <c r="C3" s="4" t="s">
        <v>118</v>
      </c>
      <c r="D3" s="4" t="s">
        <v>117</v>
      </c>
      <c r="E3" s="4" t="s">
        <v>116</v>
      </c>
      <c r="F3" s="4" t="s">
        <v>115</v>
      </c>
      <c r="G3" s="4" t="s">
        <v>119</v>
      </c>
      <c r="H3" s="4" t="s">
        <v>118</v>
      </c>
      <c r="I3" s="4" t="s">
        <v>117</v>
      </c>
      <c r="J3" s="4" t="s">
        <v>116</v>
      </c>
      <c r="K3" s="4" t="s">
        <v>115</v>
      </c>
    </row>
    <row r="4" spans="1:11" x14ac:dyDescent="0.25">
      <c r="A4" s="4">
        <v>60</v>
      </c>
      <c r="B4" s="4">
        <v>1182800</v>
      </c>
      <c r="C4" s="4">
        <v>749400</v>
      </c>
      <c r="D4" s="4">
        <v>303329.99999999988</v>
      </c>
      <c r="E4" s="4">
        <v>121890</v>
      </c>
      <c r="F4" s="4">
        <v>42830.000000000029</v>
      </c>
      <c r="G4" s="4">
        <v>3003.3314835362412</v>
      </c>
      <c r="H4" s="4">
        <v>2477.539101608691</v>
      </c>
      <c r="I4" s="4">
        <v>1229.0687531623282</v>
      </c>
      <c r="J4" s="4">
        <v>1111.8588039854701</v>
      </c>
      <c r="K4" s="4">
        <v>646.36676894778554</v>
      </c>
    </row>
    <row r="5" spans="1:11" x14ac:dyDescent="0.25">
      <c r="A5" s="4">
        <v>88</v>
      </c>
      <c r="B5" s="4">
        <v>3396600</v>
      </c>
      <c r="C5" s="4">
        <v>2058300</v>
      </c>
      <c r="D5" s="4">
        <v>624920</v>
      </c>
      <c r="E5" s="4">
        <v>353570</v>
      </c>
      <c r="F5" s="4">
        <v>101060</v>
      </c>
      <c r="G5" s="4">
        <v>3569.1455560119707</v>
      </c>
      <c r="H5" s="4">
        <v>2912.5075107199295</v>
      </c>
      <c r="I5" s="4">
        <v>1438.7772586470778</v>
      </c>
      <c r="J5" s="4">
        <v>1375.8015845317232</v>
      </c>
      <c r="K5" s="4">
        <v>795.42441501377107</v>
      </c>
    </row>
    <row r="6" spans="1:11" x14ac:dyDescent="0.25">
      <c r="A6" s="4">
        <v>122</v>
      </c>
      <c r="B6" s="4">
        <v>3176200</v>
      </c>
      <c r="C6" s="4">
        <v>1823200</v>
      </c>
      <c r="D6" s="4">
        <v>472290</v>
      </c>
      <c r="E6" s="4">
        <v>320230</v>
      </c>
      <c r="F6" s="4">
        <v>93620</v>
      </c>
      <c r="G6" s="4">
        <v>3492.4489974801349</v>
      </c>
      <c r="H6" s="4">
        <v>2834.4664400906213</v>
      </c>
      <c r="I6" s="4">
        <v>1397.1793013067436</v>
      </c>
      <c r="J6" s="4">
        <v>1386.9282605816352</v>
      </c>
      <c r="K6" s="4">
        <v>813.70756417769644</v>
      </c>
    </row>
    <row r="7" spans="1:11" x14ac:dyDescent="0.25">
      <c r="A7" s="4">
        <v>159</v>
      </c>
      <c r="B7" s="4">
        <v>2405300</v>
      </c>
      <c r="C7" s="4">
        <v>1401000</v>
      </c>
      <c r="D7" s="4">
        <v>366199.99999999988</v>
      </c>
      <c r="E7" s="4">
        <v>240460</v>
      </c>
      <c r="F7" s="4">
        <v>76159.999999999971</v>
      </c>
      <c r="G7" s="4">
        <v>2947.0833038785991</v>
      </c>
      <c r="H7" s="4">
        <v>2400.0833318866244</v>
      </c>
      <c r="I7" s="4">
        <v>1202.5888740546372</v>
      </c>
      <c r="J7" s="4">
        <v>1245.9454241659223</v>
      </c>
      <c r="K7" s="4">
        <v>725.12067961133198</v>
      </c>
    </row>
    <row r="8" spans="1:11" x14ac:dyDescent="0.25">
      <c r="A8" s="4">
        <v>320</v>
      </c>
      <c r="B8" s="4">
        <v>133200</v>
      </c>
      <c r="C8" s="4">
        <v>74900</v>
      </c>
      <c r="D8" s="4">
        <v>23119.999999999971</v>
      </c>
      <c r="E8" s="4">
        <v>21690</v>
      </c>
      <c r="F8" s="4">
        <v>6691</v>
      </c>
      <c r="G8" s="4">
        <v>1832.5392219540622</v>
      </c>
      <c r="H8" s="4">
        <v>1531.5025301970611</v>
      </c>
      <c r="I8" s="4">
        <v>724.99655171593747</v>
      </c>
      <c r="J8" s="4">
        <v>708.66776418855125</v>
      </c>
      <c r="K8" s="4">
        <v>445.22915448115032</v>
      </c>
    </row>
    <row r="9" spans="1:11" x14ac:dyDescent="0.25">
      <c r="A9" s="4">
        <v>392</v>
      </c>
      <c r="B9" s="4">
        <v>4470168</v>
      </c>
      <c r="C9" s="4">
        <v>2573200</v>
      </c>
      <c r="D9" s="4">
        <v>640680</v>
      </c>
      <c r="E9" s="4">
        <v>488850</v>
      </c>
      <c r="F9" s="4">
        <v>146100</v>
      </c>
      <c r="G9" s="4">
        <v>3180.2565934213549</v>
      </c>
      <c r="H9" s="4">
        <v>2558.8278566562462</v>
      </c>
      <c r="I9" s="4">
        <v>1215.2859745755318</v>
      </c>
      <c r="J9" s="4">
        <v>1114.5088604403286</v>
      </c>
      <c r="K9" s="4">
        <v>659.13579784441993</v>
      </c>
    </row>
    <row r="10" spans="1:11" x14ac:dyDescent="0.25">
      <c r="A10" s="4">
        <v>514</v>
      </c>
      <c r="B10" s="4">
        <v>3017100</v>
      </c>
      <c r="C10" s="4">
        <v>1823200</v>
      </c>
      <c r="D10" s="4">
        <v>462120</v>
      </c>
      <c r="E10" s="4">
        <v>388610</v>
      </c>
      <c r="F10" s="4">
        <v>121523.99999999997</v>
      </c>
      <c r="G10" s="4">
        <v>2686.3171815703372</v>
      </c>
      <c r="H10" s="4">
        <v>2173.3384458017576</v>
      </c>
      <c r="I10" s="4">
        <v>1054.3623665514622</v>
      </c>
      <c r="J10" s="4">
        <v>976.51932904576961</v>
      </c>
      <c r="K10" s="4">
        <v>553.4220812363742</v>
      </c>
    </row>
    <row r="11" spans="1:11" x14ac:dyDescent="0.25">
      <c r="A11" s="4">
        <v>662</v>
      </c>
      <c r="B11" s="4">
        <v>10717800</v>
      </c>
      <c r="C11" s="4">
        <v>6157400</v>
      </c>
      <c r="D11" s="4">
        <v>1463380</v>
      </c>
      <c r="E11" s="4">
        <v>1178070</v>
      </c>
      <c r="F11" s="4">
        <v>347829</v>
      </c>
      <c r="G11" s="4">
        <v>3884.3532280162162</v>
      </c>
      <c r="H11" s="4">
        <v>3057.6461534978175</v>
      </c>
      <c r="I11" s="4">
        <v>1479.5337103290346</v>
      </c>
      <c r="J11" s="4">
        <v>1341.9128138593803</v>
      </c>
      <c r="K11" s="4">
        <v>733.42416104188987</v>
      </c>
    </row>
    <row r="12" spans="1:11" x14ac:dyDescent="0.25">
      <c r="A12" s="4">
        <v>898</v>
      </c>
      <c r="B12" s="4">
        <v>5388300</v>
      </c>
      <c r="C12" s="4">
        <v>3554700</v>
      </c>
      <c r="D12" s="4">
        <v>973520</v>
      </c>
      <c r="E12" s="4">
        <v>776530</v>
      </c>
      <c r="F12" s="4">
        <v>238542</v>
      </c>
      <c r="G12" s="4">
        <v>2998.2161363050532</v>
      </c>
      <c r="H12" s="4">
        <v>2509.8804752417991</v>
      </c>
      <c r="I12" s="4">
        <v>1247.830116642486</v>
      </c>
      <c r="J12" s="4">
        <v>1138.0992926805641</v>
      </c>
      <c r="K12" s="4">
        <v>626.46468376118378</v>
      </c>
    </row>
    <row r="13" spans="1:11" x14ac:dyDescent="0.25">
      <c r="A13" s="4">
        <v>1173</v>
      </c>
      <c r="B13" s="4">
        <v>7666900</v>
      </c>
      <c r="C13" s="4">
        <v>5069910</v>
      </c>
      <c r="D13" s="4">
        <v>1366780</v>
      </c>
      <c r="E13" s="4">
        <v>1125550</v>
      </c>
      <c r="F13" s="4">
        <v>342562</v>
      </c>
      <c r="G13" s="4">
        <v>3133.8634303364274</v>
      </c>
      <c r="H13" s="4">
        <v>2535.6439024437163</v>
      </c>
      <c r="I13" s="4">
        <v>1279.9296855687035</v>
      </c>
      <c r="J13" s="4">
        <v>1171.6014680769224</v>
      </c>
      <c r="K13" s="4">
        <v>643.0225501489042</v>
      </c>
    </row>
    <row r="14" spans="1:11" x14ac:dyDescent="0.25">
      <c r="A14" s="4">
        <v>1333</v>
      </c>
      <c r="B14" s="4">
        <v>7211140</v>
      </c>
      <c r="C14" s="4">
        <v>4788280</v>
      </c>
      <c r="D14" s="4">
        <v>1286896</v>
      </c>
      <c r="E14" s="4">
        <v>1072223</v>
      </c>
      <c r="F14" s="4">
        <v>326424</v>
      </c>
      <c r="G14" s="4">
        <v>2943.6134257065755</v>
      </c>
      <c r="H14" s="4">
        <v>2390.9663318415842</v>
      </c>
      <c r="I14" s="4">
        <v>1200.2932974902426</v>
      </c>
      <c r="J14" s="4">
        <v>1099.3529915363854</v>
      </c>
      <c r="K14" s="4">
        <v>603.95032908344376</v>
      </c>
    </row>
    <row r="15" spans="1:11" x14ac:dyDescent="0.25">
      <c r="A15" s="4">
        <v>1836</v>
      </c>
      <c r="B15" s="4">
        <v>3509600</v>
      </c>
      <c r="C15" s="4">
        <v>2462790</v>
      </c>
      <c r="D15" s="4">
        <v>660209</v>
      </c>
      <c r="E15" s="4">
        <v>543841</v>
      </c>
      <c r="F15" s="4">
        <v>167436.9</v>
      </c>
      <c r="G15" s="4">
        <v>2076.8244990850817</v>
      </c>
      <c r="H15" s="4">
        <v>1687.012151704901</v>
      </c>
      <c r="I15" s="4">
        <v>829.54867247196535</v>
      </c>
      <c r="J15" s="4">
        <v>755.96230064732731</v>
      </c>
      <c r="K15" s="4">
        <v>416.46500453219357</v>
      </c>
    </row>
    <row r="17" spans="1:16" x14ac:dyDescent="0.25">
      <c r="A17" s="4"/>
      <c r="B17" s="4" t="s">
        <v>123</v>
      </c>
      <c r="C17" s="4"/>
      <c r="D17" s="4"/>
      <c r="E17" s="4"/>
      <c r="F17" s="4"/>
      <c r="G17" s="4" t="s">
        <v>121</v>
      </c>
      <c r="H17" s="4"/>
      <c r="I17" s="4"/>
      <c r="J17" s="4"/>
      <c r="K17" s="4"/>
    </row>
    <row r="18" spans="1:16" x14ac:dyDescent="0.25">
      <c r="A18" s="4" t="s">
        <v>120</v>
      </c>
      <c r="B18" s="4" t="s">
        <v>119</v>
      </c>
      <c r="C18" s="4" t="s">
        <v>118</v>
      </c>
      <c r="D18" s="4" t="s">
        <v>117</v>
      </c>
      <c r="E18" s="4" t="s">
        <v>116</v>
      </c>
      <c r="F18" s="4" t="s">
        <v>115</v>
      </c>
      <c r="G18" s="4" t="s">
        <v>119</v>
      </c>
      <c r="H18" s="4" t="s">
        <v>118</v>
      </c>
      <c r="I18" s="4" t="s">
        <v>117</v>
      </c>
      <c r="J18" s="4" t="s">
        <v>116</v>
      </c>
      <c r="K18" s="4" t="s">
        <v>115</v>
      </c>
    </row>
    <row r="19" spans="1:16" x14ac:dyDescent="0.25">
      <c r="A19" s="4">
        <v>60</v>
      </c>
      <c r="B19" s="4">
        <v>33819530.72383377</v>
      </c>
      <c r="C19" s="4">
        <v>33820273.777759187</v>
      </c>
      <c r="D19" s="4">
        <v>33820422.390503347</v>
      </c>
      <c r="E19" s="4">
        <v>33820125.165668055</v>
      </c>
      <c r="F19" s="4">
        <v>33820273.777759187</v>
      </c>
      <c r="G19" s="4">
        <f t="shared" ref="G19:K20" si="0">0.031*B19</f>
        <v>1048405.4524388468</v>
      </c>
      <c r="H19" s="4">
        <f t="shared" si="0"/>
        <v>1048428.4871105348</v>
      </c>
      <c r="I19" s="4">
        <f t="shared" si="0"/>
        <v>1048433.0941056038</v>
      </c>
      <c r="J19" s="4">
        <f t="shared" si="0"/>
        <v>1048423.8801357097</v>
      </c>
      <c r="K19" s="4">
        <f t="shared" si="0"/>
        <v>1048428.4871105348</v>
      </c>
    </row>
    <row r="20" spans="1:16" x14ac:dyDescent="0.25">
      <c r="A20" s="4">
        <v>88</v>
      </c>
      <c r="B20" s="4">
        <v>23951202.266098645</v>
      </c>
      <c r="C20" s="4">
        <v>24131315.244699392</v>
      </c>
      <c r="D20" s="4">
        <v>24167500.049478896</v>
      </c>
      <c r="E20" s="4">
        <v>24095184.617641795</v>
      </c>
      <c r="F20" s="4">
        <v>24131315.244699392</v>
      </c>
      <c r="G20" s="4">
        <f t="shared" si="0"/>
        <v>742487.27024905803</v>
      </c>
      <c r="H20" s="4">
        <f t="shared" si="0"/>
        <v>748070.77258568117</v>
      </c>
      <c r="I20" s="4">
        <f t="shared" si="0"/>
        <v>749192.50153384579</v>
      </c>
      <c r="J20" s="4">
        <f t="shared" si="0"/>
        <v>746950.72314689565</v>
      </c>
      <c r="K20" s="4">
        <f t="shared" si="0"/>
        <v>748070.77258568117</v>
      </c>
    </row>
    <row r="21" spans="1:16" x14ac:dyDescent="0.25">
      <c r="A21" s="4">
        <v>122</v>
      </c>
      <c r="B21" s="4">
        <v>17574819.938188989</v>
      </c>
      <c r="C21" s="4">
        <v>17800360.561270859</v>
      </c>
      <c r="D21" s="4">
        <v>17845814.832178283</v>
      </c>
      <c r="E21" s="4">
        <v>17755022.064888902</v>
      </c>
      <c r="F21" s="4">
        <v>17800360.561270859</v>
      </c>
      <c r="G21" s="4">
        <f t="shared" ref="G21:K22" si="1">0.032*B21</f>
        <v>562394.23802204768</v>
      </c>
      <c r="H21" s="4">
        <f t="shared" si="1"/>
        <v>569611.53796066751</v>
      </c>
      <c r="I21" s="4">
        <f t="shared" si="1"/>
        <v>571066.07462970505</v>
      </c>
      <c r="J21" s="4">
        <f t="shared" si="1"/>
        <v>568160.70607644483</v>
      </c>
      <c r="K21" s="4">
        <f t="shared" si="1"/>
        <v>569611.53796066751</v>
      </c>
    </row>
    <row r="22" spans="1:16" x14ac:dyDescent="0.25">
      <c r="A22" s="4">
        <v>159</v>
      </c>
      <c r="B22" s="4">
        <v>13208724.072538028</v>
      </c>
      <c r="C22" s="4">
        <v>13596753.380003497</v>
      </c>
      <c r="D22" s="4">
        <v>13675716.549656061</v>
      </c>
      <c r="E22" s="4">
        <v>13518246.141280692</v>
      </c>
      <c r="F22" s="4">
        <v>13596753.380003497</v>
      </c>
      <c r="G22" s="4">
        <f t="shared" si="1"/>
        <v>422679.17032121686</v>
      </c>
      <c r="H22" s="4">
        <f t="shared" si="1"/>
        <v>435096.10816011194</v>
      </c>
      <c r="I22" s="4">
        <f t="shared" si="1"/>
        <v>437622.92958899395</v>
      </c>
      <c r="J22" s="4">
        <f t="shared" si="1"/>
        <v>432583.87652098213</v>
      </c>
      <c r="K22" s="4">
        <f t="shared" si="1"/>
        <v>435096.10816011194</v>
      </c>
    </row>
    <row r="23" spans="1:16" x14ac:dyDescent="0.25">
      <c r="A23" s="4">
        <v>320</v>
      </c>
      <c r="B23" s="4">
        <v>1153641.3708532259</v>
      </c>
      <c r="C23" s="4">
        <v>1307364.2319179119</v>
      </c>
      <c r="D23" s="4">
        <v>1340484.3696197621</v>
      </c>
      <c r="E23" s="4">
        <v>1275062.4129866879</v>
      </c>
      <c r="F23" s="4">
        <v>1307364.2319179119</v>
      </c>
      <c r="G23" s="4">
        <f t="shared" ref="G23:K30" si="2">0.031*B23</f>
        <v>35762.882496450002</v>
      </c>
      <c r="H23" s="4">
        <f t="shared" si="2"/>
        <v>40528.291189455267</v>
      </c>
      <c r="I23" s="4">
        <f t="shared" si="2"/>
        <v>41555.015458212627</v>
      </c>
      <c r="J23" s="4">
        <f t="shared" si="2"/>
        <v>39526.934802587326</v>
      </c>
      <c r="K23" s="4">
        <f t="shared" si="2"/>
        <v>40528.291189455267</v>
      </c>
    </row>
    <row r="24" spans="1:16" x14ac:dyDescent="0.25">
      <c r="A24" s="4">
        <v>392</v>
      </c>
      <c r="B24" s="4">
        <v>35634571.063987024</v>
      </c>
      <c r="C24" s="4">
        <v>36723964.697321765</v>
      </c>
      <c r="D24" s="4">
        <v>36945807.779842652</v>
      </c>
      <c r="E24" s="4">
        <v>36503453.683477141</v>
      </c>
      <c r="F24" s="4">
        <v>36723964.697321765</v>
      </c>
      <c r="G24" s="4">
        <f t="shared" si="2"/>
        <v>1104671.7029835978</v>
      </c>
      <c r="H24" s="4">
        <f t="shared" si="2"/>
        <v>1138442.9056169747</v>
      </c>
      <c r="I24" s="4">
        <f t="shared" si="2"/>
        <v>1145320.0411751221</v>
      </c>
      <c r="J24" s="4">
        <f t="shared" si="2"/>
        <v>1131607.0641877914</v>
      </c>
      <c r="K24" s="4">
        <f t="shared" si="2"/>
        <v>1138442.9056169747</v>
      </c>
    </row>
    <row r="25" spans="1:16" x14ac:dyDescent="0.25">
      <c r="A25" s="4">
        <v>514</v>
      </c>
      <c r="B25" s="4">
        <v>28045390.683173805</v>
      </c>
      <c r="C25" s="4">
        <v>29584999.520505074</v>
      </c>
      <c r="D25" s="4">
        <v>29902918.765765466</v>
      </c>
      <c r="E25" s="4">
        <v>29270460.301365163</v>
      </c>
      <c r="F25" s="4">
        <v>29584999.520505074</v>
      </c>
      <c r="G25" s="4">
        <f t="shared" si="2"/>
        <v>869407.111178388</v>
      </c>
      <c r="H25" s="4">
        <f t="shared" si="2"/>
        <v>917134.98513565725</v>
      </c>
      <c r="I25" s="4">
        <f t="shared" si="2"/>
        <v>926990.4817387294</v>
      </c>
      <c r="J25" s="4">
        <f t="shared" si="2"/>
        <v>907384.26934232004</v>
      </c>
      <c r="K25" s="4">
        <f t="shared" si="2"/>
        <v>917134.98513565725</v>
      </c>
    </row>
    <row r="26" spans="1:16" x14ac:dyDescent="0.25">
      <c r="A26" s="4">
        <v>662</v>
      </c>
      <c r="B26" s="4">
        <v>116327728.24533676</v>
      </c>
      <c r="C26" s="4">
        <v>116364344.91823617</v>
      </c>
      <c r="D26" s="4">
        <v>116371669.63580689</v>
      </c>
      <c r="E26" s="4">
        <v>116357020.66170107</v>
      </c>
      <c r="F26" s="4">
        <v>116364344.91823617</v>
      </c>
      <c r="G26" s="4">
        <f t="shared" si="2"/>
        <v>3606159.5756054395</v>
      </c>
      <c r="H26" s="4">
        <f t="shared" si="2"/>
        <v>3607294.6924653212</v>
      </c>
      <c r="I26" s="4">
        <f t="shared" si="2"/>
        <v>3607521.7587100137</v>
      </c>
      <c r="J26" s="4">
        <f t="shared" si="2"/>
        <v>3607067.6405127333</v>
      </c>
      <c r="K26" s="4">
        <f t="shared" si="2"/>
        <v>3607294.6924653212</v>
      </c>
    </row>
    <row r="27" spans="1:16" x14ac:dyDescent="0.25">
      <c r="A27" s="4">
        <v>898</v>
      </c>
      <c r="B27" s="4">
        <v>89150287.364886686</v>
      </c>
      <c r="C27" s="4">
        <v>92095493.770876706</v>
      </c>
      <c r="D27" s="4">
        <v>92696109.581686333</v>
      </c>
      <c r="E27" s="4">
        <v>91498769.594288006</v>
      </c>
      <c r="F27" s="4">
        <v>92095493.770876706</v>
      </c>
      <c r="G27" s="4">
        <f t="shared" si="2"/>
        <v>2763658.9083114872</v>
      </c>
      <c r="H27" s="4">
        <f t="shared" si="2"/>
        <v>2854960.3068971778</v>
      </c>
      <c r="I27" s="4">
        <f t="shared" si="2"/>
        <v>2873579.3970322763</v>
      </c>
      <c r="J27" s="4">
        <f t="shared" si="2"/>
        <v>2836461.8574229283</v>
      </c>
      <c r="K27" s="4">
        <f t="shared" si="2"/>
        <v>2854960.3068971778</v>
      </c>
    </row>
    <row r="28" spans="1:16" x14ac:dyDescent="0.25">
      <c r="A28" s="4">
        <v>1173</v>
      </c>
      <c r="B28" s="4">
        <v>152562263.17942107</v>
      </c>
      <c r="C28" s="4">
        <v>152837283.93758249</v>
      </c>
      <c r="D28" s="4">
        <v>152892347.55352983</v>
      </c>
      <c r="E28" s="4">
        <v>152782240.15259364</v>
      </c>
      <c r="F28" s="4">
        <v>152837283.93758249</v>
      </c>
      <c r="G28" s="4">
        <f t="shared" si="2"/>
        <v>4729430.158562053</v>
      </c>
      <c r="H28" s="4">
        <f t="shared" si="2"/>
        <v>4737955.8020650577</v>
      </c>
      <c r="I28" s="4">
        <f t="shared" si="2"/>
        <v>4739662.7741594249</v>
      </c>
      <c r="J28" s="4">
        <f t="shared" si="2"/>
        <v>4736249.4447304029</v>
      </c>
      <c r="K28" s="4">
        <f t="shared" si="2"/>
        <v>4737955.8020650577</v>
      </c>
    </row>
    <row r="29" spans="1:16" x14ac:dyDescent="0.25">
      <c r="A29" s="4">
        <v>1333</v>
      </c>
      <c r="B29" s="4">
        <v>152745594.55916804</v>
      </c>
      <c r="C29" s="4">
        <v>153020945.80492187</v>
      </c>
      <c r="D29" s="4">
        <v>153076075.58984491</v>
      </c>
      <c r="E29" s="4">
        <v>152965835.87478784</v>
      </c>
      <c r="F29" s="4">
        <v>153020945.80492187</v>
      </c>
      <c r="G29" s="4">
        <f t="shared" si="2"/>
        <v>4735113.4313342096</v>
      </c>
      <c r="H29" s="4">
        <f t="shared" si="2"/>
        <v>4743649.3199525774</v>
      </c>
      <c r="I29" s="4">
        <f t="shared" si="2"/>
        <v>4745358.3432851918</v>
      </c>
      <c r="J29" s="4">
        <f t="shared" si="2"/>
        <v>4741940.9121184228</v>
      </c>
      <c r="K29" s="4">
        <f t="shared" si="2"/>
        <v>4743649.3199525774</v>
      </c>
    </row>
    <row r="30" spans="1:16" x14ac:dyDescent="0.25">
      <c r="A30" s="4">
        <v>1836</v>
      </c>
      <c r="B30" s="4">
        <v>94271686.851805732</v>
      </c>
      <c r="C30" s="4">
        <v>97386085.966224983</v>
      </c>
      <c r="D30" s="4">
        <v>98021205.23850663</v>
      </c>
      <c r="E30" s="4">
        <v>96755081.890130118</v>
      </c>
      <c r="F30" s="4">
        <v>97386085.966224983</v>
      </c>
      <c r="G30" s="4">
        <f t="shared" si="2"/>
        <v>2922422.2924059778</v>
      </c>
      <c r="H30" s="4">
        <f t="shared" si="2"/>
        <v>3018968.6649529743</v>
      </c>
      <c r="I30" s="4">
        <f t="shared" si="2"/>
        <v>3038657.3623937056</v>
      </c>
      <c r="J30" s="4">
        <f t="shared" si="2"/>
        <v>2999407.5385940336</v>
      </c>
      <c r="K30" s="4">
        <f t="shared" si="2"/>
        <v>3018968.6649529743</v>
      </c>
    </row>
    <row r="32" spans="1:16" x14ac:dyDescent="0.25">
      <c r="A32" s="45"/>
      <c r="B32" s="45" t="s">
        <v>122</v>
      </c>
      <c r="C32" s="45"/>
      <c r="D32" s="45"/>
      <c r="E32" s="45"/>
      <c r="F32" s="45"/>
      <c r="G32" s="45" t="s">
        <v>121</v>
      </c>
      <c r="H32" s="45"/>
      <c r="I32" s="45"/>
      <c r="J32" s="45"/>
      <c r="K32" s="45"/>
      <c r="L32" s="5" t="s">
        <v>47</v>
      </c>
      <c r="M32" s="5"/>
      <c r="N32" s="5"/>
      <c r="O32" s="5"/>
      <c r="P32" s="5"/>
    </row>
    <row r="33" spans="1:16" x14ac:dyDescent="0.25">
      <c r="A33" s="45" t="s">
        <v>120</v>
      </c>
      <c r="B33" s="45" t="s">
        <v>119</v>
      </c>
      <c r="C33" s="45" t="s">
        <v>118</v>
      </c>
      <c r="D33" s="45" t="s">
        <v>117</v>
      </c>
      <c r="E33" s="45" t="s">
        <v>116</v>
      </c>
      <c r="F33" s="45" t="s">
        <v>115</v>
      </c>
      <c r="G33" s="45" t="s">
        <v>119</v>
      </c>
      <c r="H33" s="45" t="s">
        <v>118</v>
      </c>
      <c r="I33" s="45" t="s">
        <v>117</v>
      </c>
      <c r="J33" s="45" t="s">
        <v>116</v>
      </c>
      <c r="K33" s="45" t="s">
        <v>115</v>
      </c>
      <c r="L33" s="5" t="s">
        <v>119</v>
      </c>
      <c r="M33" s="5" t="s">
        <v>118</v>
      </c>
      <c r="N33" s="5" t="s">
        <v>117</v>
      </c>
      <c r="O33" s="5" t="s">
        <v>116</v>
      </c>
      <c r="P33" s="5" t="s">
        <v>115</v>
      </c>
    </row>
    <row r="34" spans="1:16" x14ac:dyDescent="0.25">
      <c r="A34" s="45">
        <v>60</v>
      </c>
      <c r="B34" s="45">
        <f t="shared" ref="B34:F45" si="3">+B4/B19</f>
        <v>3.4973873814471375E-2</v>
      </c>
      <c r="C34" s="45">
        <f t="shared" si="3"/>
        <v>2.2158306728221069E-2</v>
      </c>
      <c r="D34" s="45">
        <f t="shared" si="3"/>
        <v>8.9688412669019137E-3</v>
      </c>
      <c r="E34" s="45">
        <f t="shared" si="3"/>
        <v>3.6040670873605943E-3</v>
      </c>
      <c r="F34" s="45">
        <f t="shared" si="3"/>
        <v>1.2664001563513598E-3</v>
      </c>
      <c r="G34" s="45">
        <f t="shared" ref="G34:G45" si="4">+B34*SQRT((G4/B4)^2+(G19/B19)^2)</f>
        <v>1.0878209470146268E-3</v>
      </c>
      <c r="H34" s="45">
        <f t="shared" ref="H34:H45" si="5">+C34*SQRT((H4/C4)^2+(H19/C19)^2)</f>
        <v>6.9080270102926406E-4</v>
      </c>
      <c r="I34" s="45">
        <f t="shared" ref="I34:I45" si="6">+D34*SQRT((I4/D4)^2+(I19/D19)^2)</f>
        <v>2.8039903566449455E-4</v>
      </c>
      <c r="J34" s="45">
        <f t="shared" ref="J34:J45" si="7">+E34*SQRT((J4/E4)^2+(J19/E19)^2)</f>
        <v>1.1646255042087999E-4</v>
      </c>
      <c r="K34" s="45">
        <f t="shared" ref="K34:K45" si="8">+F34*SQRT((K4/F4)^2+(K19/F19)^2)</f>
        <v>4.3663300045791908E-5</v>
      </c>
      <c r="L34" s="5">
        <f>100*G34/B34</f>
        <v>3.1103816316867703</v>
      </c>
      <c r="M34" s="5">
        <f t="shared" ref="M34:M45" si="9">100*H34/C34</f>
        <v>3.1175789265045686</v>
      </c>
      <c r="N34" s="5">
        <f t="shared" ref="N34:N45" si="10">100*I34/D34</f>
        <v>3.1263685834118027</v>
      </c>
      <c r="O34" s="5">
        <f t="shared" ref="O34:O45" si="11">100*J34/E34</f>
        <v>3.2314201594446534</v>
      </c>
      <c r="P34" s="5">
        <f t="shared" ref="P34:P45" si="12">100*K34/F34</f>
        <v>3.4478280681511246</v>
      </c>
    </row>
    <row r="35" spans="1:16" x14ac:dyDescent="0.25">
      <c r="A35" s="45">
        <v>88</v>
      </c>
      <c r="B35" s="45">
        <f t="shared" si="3"/>
        <v>0.14181334040202501</v>
      </c>
      <c r="C35" s="45">
        <f t="shared" si="3"/>
        <v>8.5295806678093083E-2</v>
      </c>
      <c r="D35" s="45">
        <f t="shared" si="3"/>
        <v>2.5857866917164841E-2</v>
      </c>
      <c r="E35" s="45">
        <f t="shared" si="3"/>
        <v>1.4673886322544559E-2</v>
      </c>
      <c r="F35" s="45">
        <f t="shared" si="3"/>
        <v>4.1879192648729959E-3</v>
      </c>
      <c r="G35" s="45">
        <f t="shared" si="4"/>
        <v>4.3987384305300536E-3</v>
      </c>
      <c r="H35" s="45">
        <f t="shared" si="5"/>
        <v>2.6469231369948215E-3</v>
      </c>
      <c r="I35" s="45">
        <f t="shared" si="6"/>
        <v>8.0380158249373644E-4</v>
      </c>
      <c r="J35" s="45">
        <f t="shared" si="7"/>
        <v>4.5846002724895336E-4</v>
      </c>
      <c r="K35" s="45">
        <f t="shared" si="8"/>
        <v>1.3394467152722658E-4</v>
      </c>
      <c r="L35" s="5">
        <f t="shared" ref="L35:L45" si="13">100*G35/B35</f>
        <v>3.1017804235201853</v>
      </c>
      <c r="M35" s="5">
        <f t="shared" si="9"/>
        <v>3.1032277436384725</v>
      </c>
      <c r="N35" s="5">
        <f t="shared" si="10"/>
        <v>3.108537858396049</v>
      </c>
      <c r="O35" s="5">
        <f t="shared" si="11"/>
        <v>3.1243258750382155</v>
      </c>
      <c r="P35" s="5">
        <f t="shared" si="12"/>
        <v>3.198358493935499</v>
      </c>
    </row>
    <row r="36" spans="1:16" x14ac:dyDescent="0.25">
      <c r="A36" s="45">
        <v>122</v>
      </c>
      <c r="B36" s="45">
        <f t="shared" si="3"/>
        <v>0.18072446893742083</v>
      </c>
      <c r="C36" s="45">
        <f t="shared" si="3"/>
        <v>0.10242489154780539</v>
      </c>
      <c r="D36" s="45">
        <f t="shared" si="3"/>
        <v>2.6465028604264168E-2</v>
      </c>
      <c r="E36" s="45">
        <f t="shared" si="3"/>
        <v>1.8036023770044454E-2</v>
      </c>
      <c r="F36" s="45">
        <f t="shared" si="3"/>
        <v>5.2594440251785548E-3</v>
      </c>
      <c r="G36" s="45">
        <f t="shared" si="4"/>
        <v>5.7865961397526536E-3</v>
      </c>
      <c r="H36" s="45">
        <f t="shared" si="5"/>
        <v>3.2814623662707882E-3</v>
      </c>
      <c r="I36" s="45">
        <f t="shared" si="6"/>
        <v>8.5049213759137883E-4</v>
      </c>
      <c r="J36" s="45">
        <f t="shared" si="7"/>
        <v>5.8241498590848458E-4</v>
      </c>
      <c r="K36" s="45">
        <f t="shared" si="8"/>
        <v>1.7439985729281559E-4</v>
      </c>
      <c r="L36" s="5">
        <f t="shared" si="13"/>
        <v>3.2018885841940796</v>
      </c>
      <c r="M36" s="5">
        <f t="shared" si="9"/>
        <v>3.2037743137264747</v>
      </c>
      <c r="N36" s="5">
        <f t="shared" si="10"/>
        <v>3.2136452611063624</v>
      </c>
      <c r="O36" s="5">
        <f t="shared" si="11"/>
        <v>3.2291761939003538</v>
      </c>
      <c r="P36" s="5">
        <f t="shared" si="12"/>
        <v>3.315937130577121</v>
      </c>
    </row>
    <row r="37" spans="1:16" x14ac:dyDescent="0.25">
      <c r="A37" s="45">
        <v>159</v>
      </c>
      <c r="B37" s="45">
        <f t="shared" si="3"/>
        <v>0.18209934485654122</v>
      </c>
      <c r="C37" s="45">
        <f t="shared" si="3"/>
        <v>0.10303930363703043</v>
      </c>
      <c r="D37" s="45">
        <f t="shared" si="3"/>
        <v>2.6777390323230243E-2</v>
      </c>
      <c r="E37" s="45">
        <f t="shared" si="3"/>
        <v>1.7787810451661099E-2</v>
      </c>
      <c r="F37" s="45">
        <f t="shared" si="3"/>
        <v>5.6013371627382114E-3</v>
      </c>
      <c r="G37" s="45">
        <f t="shared" si="4"/>
        <v>5.8314489151630724E-3</v>
      </c>
      <c r="H37" s="45">
        <f t="shared" si="5"/>
        <v>3.3019793085758116E-3</v>
      </c>
      <c r="I37" s="45">
        <f t="shared" si="6"/>
        <v>8.6137684753917563E-4</v>
      </c>
      <c r="J37" s="45">
        <f t="shared" si="7"/>
        <v>5.7662364784795861E-4</v>
      </c>
      <c r="K37" s="45">
        <f t="shared" si="8"/>
        <v>1.8700832081159868E-4</v>
      </c>
      <c r="L37" s="5">
        <f t="shared" si="13"/>
        <v>3.2023448078613996</v>
      </c>
      <c r="M37" s="5">
        <f t="shared" si="9"/>
        <v>3.2045823215260367</v>
      </c>
      <c r="N37" s="5">
        <f t="shared" si="10"/>
        <v>3.2168065563577479</v>
      </c>
      <c r="O37" s="5">
        <f t="shared" si="11"/>
        <v>3.2416786170223166</v>
      </c>
      <c r="P37" s="5">
        <f t="shared" si="12"/>
        <v>3.3386371035765277</v>
      </c>
    </row>
    <row r="38" spans="1:16" x14ac:dyDescent="0.25">
      <c r="A38" s="45">
        <v>320</v>
      </c>
      <c r="B38" s="45">
        <f t="shared" si="3"/>
        <v>0.11546049176572622</v>
      </c>
      <c r="C38" s="45">
        <f t="shared" si="3"/>
        <v>5.7290843799605265E-2</v>
      </c>
      <c r="D38" s="45">
        <f t="shared" si="3"/>
        <v>1.7247496892901573E-2</v>
      </c>
      <c r="E38" s="45">
        <f t="shared" si="3"/>
        <v>1.7010931997590344E-2</v>
      </c>
      <c r="F38" s="45">
        <f t="shared" si="3"/>
        <v>5.1179310529126673E-3</v>
      </c>
      <c r="G38" s="45">
        <f t="shared" si="4"/>
        <v>3.9159275001868776E-3</v>
      </c>
      <c r="H38" s="45">
        <f t="shared" si="5"/>
        <v>2.1275600650095881E-3</v>
      </c>
      <c r="I38" s="45">
        <f t="shared" si="6"/>
        <v>7.6051938528218872E-4</v>
      </c>
      <c r="J38" s="45">
        <f t="shared" si="7"/>
        <v>7.6615243316721204E-4</v>
      </c>
      <c r="K38" s="45">
        <f t="shared" si="8"/>
        <v>3.7569834883719854E-4</v>
      </c>
      <c r="L38" s="5">
        <f t="shared" si="13"/>
        <v>3.3915735506587357</v>
      </c>
      <c r="M38" s="5">
        <f t="shared" si="9"/>
        <v>3.7136127239659316</v>
      </c>
      <c r="N38" s="5">
        <f t="shared" si="10"/>
        <v>4.4094478752751085</v>
      </c>
      <c r="O38" s="5">
        <f t="shared" si="11"/>
        <v>4.5038827577215645</v>
      </c>
      <c r="P38" s="5">
        <f t="shared" si="12"/>
        <v>7.340824738609653</v>
      </c>
    </row>
    <row r="39" spans="1:16" x14ac:dyDescent="0.25">
      <c r="A39" s="45">
        <v>392</v>
      </c>
      <c r="B39" s="45">
        <f t="shared" si="3"/>
        <v>0.12544469784617773</v>
      </c>
      <c r="C39" s="45">
        <f t="shared" si="3"/>
        <v>7.0068687332870153E-2</v>
      </c>
      <c r="D39" s="45">
        <f t="shared" si="3"/>
        <v>1.734107435998598E-2</v>
      </c>
      <c r="E39" s="45">
        <f t="shared" si="3"/>
        <v>1.3391883525291531E-2</v>
      </c>
      <c r="F39" s="45">
        <f t="shared" si="3"/>
        <v>3.9783286255760638E-3</v>
      </c>
      <c r="G39" s="45">
        <f t="shared" si="4"/>
        <v>3.8898095863663484E-3</v>
      </c>
      <c r="H39" s="45">
        <f t="shared" si="5"/>
        <v>2.1732465709665564E-3</v>
      </c>
      <c r="I39" s="45">
        <f t="shared" si="6"/>
        <v>5.3857873785619428E-4</v>
      </c>
      <c r="J39" s="45">
        <f t="shared" si="7"/>
        <v>4.1626958061698378E-4</v>
      </c>
      <c r="K39" s="45">
        <f t="shared" si="8"/>
        <v>1.2462738973348364E-4</v>
      </c>
      <c r="L39" s="5">
        <f t="shared" si="13"/>
        <v>3.1008162586003389</v>
      </c>
      <c r="M39" s="5">
        <f t="shared" si="9"/>
        <v>3.1015945262999915</v>
      </c>
      <c r="N39" s="5">
        <f t="shared" si="10"/>
        <v>3.1057979838835648</v>
      </c>
      <c r="O39" s="5">
        <f t="shared" si="11"/>
        <v>3.108372170582494</v>
      </c>
      <c r="P39" s="5">
        <f t="shared" si="12"/>
        <v>3.1326569889745484</v>
      </c>
    </row>
    <row r="40" spans="1:16" x14ac:dyDescent="0.25">
      <c r="A40" s="45">
        <v>514</v>
      </c>
      <c r="B40" s="45">
        <f t="shared" si="3"/>
        <v>0.10757917527639035</v>
      </c>
      <c r="C40" s="45">
        <f t="shared" si="3"/>
        <v>6.1625824896037532E-2</v>
      </c>
      <c r="D40" s="45">
        <f t="shared" si="3"/>
        <v>1.5454009811545917E-2</v>
      </c>
      <c r="E40" s="45">
        <f t="shared" si="3"/>
        <v>1.3276525069948263E-2</v>
      </c>
      <c r="F40" s="45">
        <f t="shared" si="3"/>
        <v>4.1076221723705918E-3</v>
      </c>
      <c r="G40" s="45">
        <f t="shared" si="4"/>
        <v>3.3363296851531441E-3</v>
      </c>
      <c r="H40" s="45">
        <f t="shared" si="5"/>
        <v>1.9118124482605764E-3</v>
      </c>
      <c r="I40" s="45">
        <f t="shared" si="6"/>
        <v>4.8037008877890099E-4</v>
      </c>
      <c r="J40" s="45">
        <f t="shared" si="7"/>
        <v>4.1292221827891738E-4</v>
      </c>
      <c r="K40" s="45">
        <f t="shared" si="8"/>
        <v>1.2870295620022394E-4</v>
      </c>
      <c r="L40" s="5">
        <f t="shared" si="13"/>
        <v>3.1012783622680784</v>
      </c>
      <c r="M40" s="5">
        <f t="shared" si="9"/>
        <v>3.1022910467905214</v>
      </c>
      <c r="N40" s="5">
        <f t="shared" si="10"/>
        <v>3.1083847793341604</v>
      </c>
      <c r="O40" s="5">
        <f t="shared" si="11"/>
        <v>3.1101678797984333</v>
      </c>
      <c r="P40" s="5">
        <f t="shared" si="12"/>
        <v>3.1332715327599585</v>
      </c>
    </row>
    <row r="41" spans="1:16" x14ac:dyDescent="0.25">
      <c r="A41" s="45">
        <v>662</v>
      </c>
      <c r="B41" s="45">
        <f t="shared" si="3"/>
        <v>9.2134525118517011E-2</v>
      </c>
      <c r="C41" s="45">
        <f t="shared" si="3"/>
        <v>5.291483404410964E-2</v>
      </c>
      <c r="D41" s="45">
        <f t="shared" si="3"/>
        <v>1.2575053744435806E-2</v>
      </c>
      <c r="E41" s="45">
        <f t="shared" si="3"/>
        <v>1.0124614684189502E-2</v>
      </c>
      <c r="F41" s="45">
        <f t="shared" si="3"/>
        <v>2.989137267471435E-3</v>
      </c>
      <c r="G41" s="45">
        <f t="shared" si="4"/>
        <v>2.8563654616826917E-3</v>
      </c>
      <c r="H41" s="45">
        <f t="shared" si="5"/>
        <v>1.6405702998806818E-3</v>
      </c>
      <c r="I41" s="45">
        <f t="shared" si="6"/>
        <v>3.9003393692232946E-4</v>
      </c>
      <c r="J41" s="45">
        <f t="shared" si="7"/>
        <v>3.1407486532895944E-4</v>
      </c>
      <c r="K41" s="45">
        <f t="shared" si="8"/>
        <v>9.2877362637983077E-5</v>
      </c>
      <c r="L41" s="5">
        <f t="shared" si="13"/>
        <v>3.1002118456771912</v>
      </c>
      <c r="M41" s="5">
        <f t="shared" si="9"/>
        <v>3.1003977041921882</v>
      </c>
      <c r="N41" s="5">
        <f t="shared" si="10"/>
        <v>3.1016482700514199</v>
      </c>
      <c r="O41" s="5">
        <f t="shared" si="11"/>
        <v>3.102092031407532</v>
      </c>
      <c r="P41" s="5">
        <f t="shared" si="12"/>
        <v>3.1071628475780808</v>
      </c>
    </row>
    <row r="42" spans="1:16" x14ac:dyDescent="0.25">
      <c r="A42" s="45">
        <v>898</v>
      </c>
      <c r="B42" s="45">
        <f t="shared" si="3"/>
        <v>6.044063523817951E-2</v>
      </c>
      <c r="C42" s="45">
        <f t="shared" si="3"/>
        <v>3.8597979710534983E-2</v>
      </c>
      <c r="D42" s="45">
        <f t="shared" si="3"/>
        <v>1.0502274630437512E-2</v>
      </c>
      <c r="E42" s="45">
        <f t="shared" si="3"/>
        <v>8.4867807888913561E-3</v>
      </c>
      <c r="F42" s="45">
        <f t="shared" si="3"/>
        <v>2.5901593034884621E-3</v>
      </c>
      <c r="G42" s="45">
        <f t="shared" si="4"/>
        <v>1.8739614961767403E-3</v>
      </c>
      <c r="H42" s="45">
        <f t="shared" si="5"/>
        <v>1.1968476960107046E-3</v>
      </c>
      <c r="I42" s="45">
        <f t="shared" si="6"/>
        <v>3.2584869447150591E-4</v>
      </c>
      <c r="J42" s="45">
        <f t="shared" si="7"/>
        <v>2.6338407268876535E-4</v>
      </c>
      <c r="K42" s="45">
        <f t="shared" si="8"/>
        <v>8.0582559758586876E-5</v>
      </c>
      <c r="L42" s="5">
        <f t="shared" si="13"/>
        <v>3.100499339214398</v>
      </c>
      <c r="M42" s="5">
        <f t="shared" si="9"/>
        <v>3.1008039928163269</v>
      </c>
      <c r="N42" s="5">
        <f t="shared" si="10"/>
        <v>3.1026487683643009</v>
      </c>
      <c r="O42" s="5">
        <f t="shared" si="11"/>
        <v>3.1034626584619454</v>
      </c>
      <c r="P42" s="5">
        <f t="shared" si="12"/>
        <v>3.1111043884465786</v>
      </c>
    </row>
    <row r="43" spans="1:16" x14ac:dyDescent="0.25">
      <c r="A43" s="45">
        <v>1173</v>
      </c>
      <c r="B43" s="45">
        <f t="shared" si="3"/>
        <v>5.0254236140842581E-2</v>
      </c>
      <c r="C43" s="45">
        <f t="shared" si="3"/>
        <v>3.3171945152273903E-2</v>
      </c>
      <c r="D43" s="45">
        <f t="shared" si="3"/>
        <v>8.939492537528541E-3</v>
      </c>
      <c r="E43" s="45">
        <f t="shared" si="3"/>
        <v>7.3670211856812634E-3</v>
      </c>
      <c r="F43" s="45">
        <f t="shared" si="3"/>
        <v>2.2413510052946214E-3</v>
      </c>
      <c r="G43" s="45">
        <f t="shared" si="4"/>
        <v>1.5580167403154578E-3</v>
      </c>
      <c r="H43" s="45">
        <f t="shared" si="5"/>
        <v>1.0284641215666547E-3</v>
      </c>
      <c r="I43" s="45">
        <f t="shared" si="6"/>
        <v>2.7725068323176456E-4</v>
      </c>
      <c r="J43" s="45">
        <f t="shared" si="7"/>
        <v>2.2850636551330388E-4</v>
      </c>
      <c r="K43" s="45">
        <f t="shared" si="8"/>
        <v>6.960914197398406E-5</v>
      </c>
      <c r="L43" s="5">
        <f t="shared" si="13"/>
        <v>3.1002694697198425</v>
      </c>
      <c r="M43" s="5">
        <f t="shared" si="9"/>
        <v>3.1004034187490346</v>
      </c>
      <c r="N43" s="5">
        <f t="shared" si="10"/>
        <v>3.1014141134728743</v>
      </c>
      <c r="O43" s="5">
        <f t="shared" si="11"/>
        <v>3.1017470936208911</v>
      </c>
      <c r="P43" s="5">
        <f t="shared" si="12"/>
        <v>3.1056778616803067</v>
      </c>
    </row>
    <row r="44" spans="1:16" x14ac:dyDescent="0.25">
      <c r="A44" s="45">
        <v>1333</v>
      </c>
      <c r="B44" s="45">
        <f t="shared" si="3"/>
        <v>4.721013408479463E-2</v>
      </c>
      <c r="C44" s="45">
        <f t="shared" si="3"/>
        <v>3.1291663862176876E-2</v>
      </c>
      <c r="D44" s="45">
        <f t="shared" si="3"/>
        <v>8.406904835005927E-3</v>
      </c>
      <c r="E44" s="45">
        <f t="shared" si="3"/>
        <v>7.0095586630055219E-3</v>
      </c>
      <c r="F44" s="45">
        <f t="shared" si="3"/>
        <v>2.1331981597874864E-3</v>
      </c>
      <c r="G44" s="45">
        <f t="shared" si="4"/>
        <v>1.4636410323181494E-3</v>
      </c>
      <c r="H44" s="45">
        <f t="shared" si="5"/>
        <v>9.7016741333402832E-4</v>
      </c>
      <c r="I44" s="45">
        <f t="shared" si="6"/>
        <v>2.6073198253310365E-4</v>
      </c>
      <c r="J44" s="45">
        <f t="shared" si="7"/>
        <v>2.1741513713146581E-4</v>
      </c>
      <c r="K44" s="45">
        <f t="shared" si="8"/>
        <v>6.6246819942636969E-5</v>
      </c>
      <c r="L44" s="5">
        <f t="shared" si="13"/>
        <v>3.1002687467256242</v>
      </c>
      <c r="M44" s="5">
        <f t="shared" si="9"/>
        <v>3.1004021314018311</v>
      </c>
      <c r="N44" s="5">
        <f t="shared" si="10"/>
        <v>3.1014028069810999</v>
      </c>
      <c r="O44" s="5">
        <f t="shared" si="11"/>
        <v>3.1016950935716068</v>
      </c>
      <c r="P44" s="5">
        <f t="shared" si="12"/>
        <v>3.1055164584070623</v>
      </c>
    </row>
    <row r="45" spans="1:16" x14ac:dyDescent="0.25">
      <c r="A45" s="45">
        <v>1836</v>
      </c>
      <c r="B45" s="45">
        <f t="shared" si="3"/>
        <v>3.7228569013696131E-2</v>
      </c>
      <c r="C45" s="45">
        <f t="shared" si="3"/>
        <v>2.5288930914156814E-2</v>
      </c>
      <c r="D45" s="45">
        <f t="shared" si="3"/>
        <v>6.7353691315421987E-3</v>
      </c>
      <c r="E45" s="45">
        <f t="shared" si="3"/>
        <v>5.620800369096444E-3</v>
      </c>
      <c r="F45" s="45">
        <f t="shared" si="3"/>
        <v>1.7193102930337474E-3</v>
      </c>
      <c r="G45" s="45">
        <f t="shared" si="4"/>
        <v>1.1542958862515605E-3</v>
      </c>
      <c r="H45" s="45">
        <f t="shared" si="5"/>
        <v>7.8414822550951278E-4</v>
      </c>
      <c r="I45" s="45">
        <f t="shared" si="6"/>
        <v>2.0896788314059807E-4</v>
      </c>
      <c r="J45" s="45">
        <f t="shared" si="7"/>
        <v>1.7441989473993371E-4</v>
      </c>
      <c r="K45" s="45">
        <f t="shared" si="8"/>
        <v>5.3469904334727463E-5</v>
      </c>
      <c r="L45" s="5">
        <f t="shared" si="13"/>
        <v>3.1005647459264498</v>
      </c>
      <c r="M45" s="5">
        <f t="shared" si="9"/>
        <v>3.1007567230552415</v>
      </c>
      <c r="N45" s="5">
        <f t="shared" si="10"/>
        <v>3.1025453699632739</v>
      </c>
      <c r="O45" s="5">
        <f t="shared" si="11"/>
        <v>3.1031149175641706</v>
      </c>
      <c r="P45" s="5">
        <f t="shared" si="12"/>
        <v>3.1099624396698666</v>
      </c>
    </row>
  </sheetData>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8"/>
  <sheetViews>
    <sheetView workbookViewId="0">
      <selection activeCell="G16" sqref="G16"/>
    </sheetView>
  </sheetViews>
  <sheetFormatPr defaultRowHeight="15" x14ac:dyDescent="0.25"/>
  <cols>
    <col min="3" max="4" width="11.5703125" bestFit="1" customWidth="1"/>
    <col min="5" max="5" width="9.5703125" bestFit="1" customWidth="1"/>
    <col min="6" max="7" width="11.5703125" bestFit="1" customWidth="1"/>
    <col min="8" max="8" width="9.5703125" bestFit="1" customWidth="1"/>
    <col min="9" max="10" width="11.5703125" bestFit="1" customWidth="1"/>
    <col min="11" max="11" width="9.5703125" bestFit="1" customWidth="1"/>
    <col min="12" max="13" width="11.5703125" bestFit="1" customWidth="1"/>
    <col min="14" max="14" width="9.5703125" bestFit="1" customWidth="1"/>
    <col min="15" max="16" width="11.5703125" bestFit="1" customWidth="1"/>
  </cols>
  <sheetData>
    <row r="1" spans="1:17" x14ac:dyDescent="0.25">
      <c r="A1" s="4"/>
      <c r="B1" s="4"/>
      <c r="C1" s="61" t="s">
        <v>68</v>
      </c>
      <c r="D1" s="61"/>
      <c r="E1" s="61"/>
      <c r="F1" s="61" t="s">
        <v>69</v>
      </c>
      <c r="G1" s="61"/>
      <c r="H1" s="61"/>
      <c r="I1" s="61" t="s">
        <v>70</v>
      </c>
      <c r="J1" s="61"/>
      <c r="K1" s="61"/>
      <c r="L1" s="61" t="s">
        <v>108</v>
      </c>
      <c r="M1" s="61"/>
      <c r="N1" s="61"/>
      <c r="O1" s="61" t="s">
        <v>109</v>
      </c>
      <c r="P1" s="61"/>
      <c r="Q1" s="61"/>
    </row>
    <row r="2" spans="1:17" x14ac:dyDescent="0.25">
      <c r="A2" s="23" t="s">
        <v>21</v>
      </c>
      <c r="B2" s="23" t="s">
        <v>76</v>
      </c>
      <c r="C2" s="4" t="s">
        <v>73</v>
      </c>
      <c r="D2" s="4" t="s">
        <v>74</v>
      </c>
      <c r="E2" s="4" t="s">
        <v>75</v>
      </c>
      <c r="F2" s="4" t="s">
        <v>73</v>
      </c>
      <c r="G2" s="4" t="s">
        <v>74</v>
      </c>
      <c r="H2" s="4" t="s">
        <v>75</v>
      </c>
      <c r="I2" s="4" t="s">
        <v>73</v>
      </c>
      <c r="J2" s="4" t="s">
        <v>74</v>
      </c>
      <c r="K2" s="4" t="s">
        <v>75</v>
      </c>
      <c r="L2" s="4" t="s">
        <v>73</v>
      </c>
      <c r="M2" s="4" t="s">
        <v>74</v>
      </c>
      <c r="N2" s="4" t="s">
        <v>75</v>
      </c>
      <c r="O2" s="4" t="s">
        <v>73</v>
      </c>
      <c r="P2" s="4" t="s">
        <v>74</v>
      </c>
      <c r="Q2" s="4" t="s">
        <v>75</v>
      </c>
    </row>
    <row r="3" spans="1:17" x14ac:dyDescent="0.25">
      <c r="A3" s="23" t="s">
        <v>20</v>
      </c>
      <c r="B3" s="43">
        <v>60</v>
      </c>
      <c r="C3" s="41">
        <v>33819530.72383377</v>
      </c>
      <c r="D3" s="41">
        <v>1182800</v>
      </c>
      <c r="E3" s="42">
        <f>100*D3/C3</f>
        <v>3.4973873814471372</v>
      </c>
      <c r="F3" s="41">
        <v>33820273.777759187</v>
      </c>
      <c r="G3" s="41">
        <v>749400</v>
      </c>
      <c r="H3" s="42">
        <f t="shared" ref="H3:H14" si="0">100*G3/F3</f>
        <v>2.2158306728221069</v>
      </c>
      <c r="I3" s="41">
        <v>33820422.390503347</v>
      </c>
      <c r="J3" s="41">
        <v>303329.99999999988</v>
      </c>
      <c r="K3" s="42">
        <f t="shared" ref="K3:K14" si="1">100*J3/I3</f>
        <v>0.89688412669019135</v>
      </c>
      <c r="L3" s="41">
        <v>33820273.777759187</v>
      </c>
      <c r="M3" s="41">
        <v>42830.000000000029</v>
      </c>
      <c r="N3" s="42">
        <f t="shared" ref="N3:N14" si="2">100*M3/L3</f>
        <v>0.12664001563513597</v>
      </c>
      <c r="O3" s="41">
        <v>33820125.165668055</v>
      </c>
      <c r="P3" s="41">
        <v>121890</v>
      </c>
      <c r="Q3" s="42">
        <f t="shared" ref="Q3:Q14" si="3">100*P3/O3</f>
        <v>0.3604067087360594</v>
      </c>
    </row>
    <row r="4" spans="1:17" x14ac:dyDescent="0.25">
      <c r="A4" s="23" t="s">
        <v>19</v>
      </c>
      <c r="B4" s="43">
        <v>88</v>
      </c>
      <c r="C4" s="41">
        <v>23951202.266098645</v>
      </c>
      <c r="D4" s="41">
        <v>3396600</v>
      </c>
      <c r="E4" s="42">
        <f t="shared" ref="E4:E14" si="4">100*D4/C4</f>
        <v>14.181334040202502</v>
      </c>
      <c r="F4" s="41">
        <v>24131315.244699392</v>
      </c>
      <c r="G4" s="41">
        <v>2058300</v>
      </c>
      <c r="H4" s="42">
        <f t="shared" si="0"/>
        <v>8.5295806678093093</v>
      </c>
      <c r="I4" s="41">
        <v>24167500.049478896</v>
      </c>
      <c r="J4" s="41">
        <v>624920</v>
      </c>
      <c r="K4" s="42">
        <f t="shared" si="1"/>
        <v>2.5857866917164842</v>
      </c>
      <c r="L4" s="41">
        <v>24131315.244699392</v>
      </c>
      <c r="M4" s="41">
        <v>101060</v>
      </c>
      <c r="N4" s="42">
        <f t="shared" si="2"/>
        <v>0.41879192648729957</v>
      </c>
      <c r="O4" s="41">
        <v>24095184.617641795</v>
      </c>
      <c r="P4" s="41">
        <v>353570</v>
      </c>
      <c r="Q4" s="42">
        <f t="shared" si="3"/>
        <v>1.467388632254456</v>
      </c>
    </row>
    <row r="5" spans="1:17" x14ac:dyDescent="0.25">
      <c r="A5" s="23" t="s">
        <v>18</v>
      </c>
      <c r="B5" s="43">
        <v>122</v>
      </c>
      <c r="C5" s="41">
        <v>17574819.938188989</v>
      </c>
      <c r="D5" s="41">
        <v>3176200</v>
      </c>
      <c r="E5" s="42">
        <f t="shared" si="4"/>
        <v>18.072446893742082</v>
      </c>
      <c r="F5" s="41">
        <v>17800360.561270859</v>
      </c>
      <c r="G5" s="41">
        <v>1823200</v>
      </c>
      <c r="H5" s="42">
        <f t="shared" si="0"/>
        <v>10.242489154780539</v>
      </c>
      <c r="I5" s="41">
        <v>17845814.832178283</v>
      </c>
      <c r="J5" s="41">
        <v>472290</v>
      </c>
      <c r="K5" s="42">
        <f t="shared" si="1"/>
        <v>2.6465028604264167</v>
      </c>
      <c r="L5" s="41">
        <v>17800360.561270859</v>
      </c>
      <c r="M5" s="41">
        <v>93620</v>
      </c>
      <c r="N5" s="42">
        <f t="shared" si="2"/>
        <v>0.52594440251785546</v>
      </c>
      <c r="O5" s="41">
        <v>17755022.064888902</v>
      </c>
      <c r="P5" s="41">
        <v>320230</v>
      </c>
      <c r="Q5" s="42">
        <f t="shared" si="3"/>
        <v>1.8036023770044454</v>
      </c>
    </row>
    <row r="6" spans="1:17" x14ac:dyDescent="0.25">
      <c r="A6" s="23" t="s">
        <v>17</v>
      </c>
      <c r="B6" s="43">
        <v>159</v>
      </c>
      <c r="C6" s="41">
        <v>13208724.072538028</v>
      </c>
      <c r="D6" s="41">
        <v>2405300</v>
      </c>
      <c r="E6" s="42">
        <f t="shared" si="4"/>
        <v>18.209934485654124</v>
      </c>
      <c r="F6" s="41">
        <v>13596753.380003497</v>
      </c>
      <c r="G6" s="41">
        <v>1401000</v>
      </c>
      <c r="H6" s="42">
        <f t="shared" si="0"/>
        <v>10.303930363703042</v>
      </c>
      <c r="I6" s="41">
        <v>13675716.549656061</v>
      </c>
      <c r="J6" s="41">
        <v>366199.99999999988</v>
      </c>
      <c r="K6" s="42">
        <f t="shared" si="1"/>
        <v>2.6777390323230237</v>
      </c>
      <c r="L6" s="41">
        <v>13596753.380003497</v>
      </c>
      <c r="M6" s="41">
        <v>76159.999999999971</v>
      </c>
      <c r="N6" s="42">
        <f t="shared" si="2"/>
        <v>0.56013371627382114</v>
      </c>
      <c r="O6" s="41">
        <v>13518246.141280692</v>
      </c>
      <c r="P6" s="41">
        <v>240460</v>
      </c>
      <c r="Q6" s="42">
        <f t="shared" si="3"/>
        <v>1.7787810451661097</v>
      </c>
    </row>
    <row r="7" spans="1:17" x14ac:dyDescent="0.25">
      <c r="A7" s="23" t="s">
        <v>16</v>
      </c>
      <c r="B7" s="43">
        <v>320</v>
      </c>
      <c r="C7" s="41">
        <v>1153641.3708532259</v>
      </c>
      <c r="D7" s="41">
        <v>133200</v>
      </c>
      <c r="E7" s="42">
        <f t="shared" si="4"/>
        <v>11.546049176572621</v>
      </c>
      <c r="F7" s="41">
        <v>1307364.2319179119</v>
      </c>
      <c r="G7" s="41">
        <v>74900</v>
      </c>
      <c r="H7" s="42">
        <f t="shared" si="0"/>
        <v>5.7290843799605264</v>
      </c>
      <c r="I7" s="41">
        <v>1340484.3696197621</v>
      </c>
      <c r="J7" s="41">
        <v>23119.999999999971</v>
      </c>
      <c r="K7" s="42">
        <f t="shared" si="1"/>
        <v>1.7247496892901575</v>
      </c>
      <c r="L7" s="41">
        <v>1307364.2319179119</v>
      </c>
      <c r="M7" s="41">
        <v>6691</v>
      </c>
      <c r="N7" s="42">
        <f t="shared" si="2"/>
        <v>0.51179310529126676</v>
      </c>
      <c r="O7" s="41">
        <v>1275062.4129866879</v>
      </c>
      <c r="P7" s="41">
        <v>21690</v>
      </c>
      <c r="Q7" s="42">
        <f t="shared" si="3"/>
        <v>1.7010931997590342</v>
      </c>
    </row>
    <row r="8" spans="1:17" x14ac:dyDescent="0.25">
      <c r="A8" s="23" t="s">
        <v>15</v>
      </c>
      <c r="B8" s="43">
        <v>392</v>
      </c>
      <c r="C8" s="41">
        <v>35634571.063987024</v>
      </c>
      <c r="D8" s="41">
        <v>4470168</v>
      </c>
      <c r="E8" s="42">
        <f t="shared" si="4"/>
        <v>12.544469784617773</v>
      </c>
      <c r="F8" s="41">
        <v>36723964.697321765</v>
      </c>
      <c r="G8" s="41">
        <v>2573200</v>
      </c>
      <c r="H8" s="42">
        <f t="shared" si="0"/>
        <v>7.006868733287015</v>
      </c>
      <c r="I8" s="41">
        <v>36945807.779842652</v>
      </c>
      <c r="J8" s="41">
        <v>640680</v>
      </c>
      <c r="K8" s="42">
        <f t="shared" si="1"/>
        <v>1.7341074359985982</v>
      </c>
      <c r="L8" s="41">
        <v>36723964.697321765</v>
      </c>
      <c r="M8" s="41">
        <v>146100</v>
      </c>
      <c r="N8" s="42">
        <f t="shared" si="2"/>
        <v>0.39783286255760641</v>
      </c>
      <c r="O8" s="41">
        <v>36503453.683477141</v>
      </c>
      <c r="P8" s="41">
        <v>488850</v>
      </c>
      <c r="Q8" s="42">
        <f t="shared" si="3"/>
        <v>1.3391883525291532</v>
      </c>
    </row>
    <row r="9" spans="1:17" x14ac:dyDescent="0.25">
      <c r="A9" s="23" t="s">
        <v>14</v>
      </c>
      <c r="B9" s="43">
        <v>514</v>
      </c>
      <c r="C9" s="41">
        <v>28045390.683173805</v>
      </c>
      <c r="D9" s="41">
        <v>3017100</v>
      </c>
      <c r="E9" s="42">
        <f t="shared" si="4"/>
        <v>10.757917527639036</v>
      </c>
      <c r="F9" s="41">
        <v>29584999.520505074</v>
      </c>
      <c r="G9" s="41">
        <v>1823200</v>
      </c>
      <c r="H9" s="42">
        <f t="shared" si="0"/>
        <v>6.1625824896037527</v>
      </c>
      <c r="I9" s="41">
        <v>29902918.765765466</v>
      </c>
      <c r="J9" s="41">
        <v>462120</v>
      </c>
      <c r="K9" s="42">
        <f t="shared" si="1"/>
        <v>1.5454009811545917</v>
      </c>
      <c r="L9" s="41">
        <v>29584999.520505074</v>
      </c>
      <c r="M9" s="41">
        <v>121523.99999999997</v>
      </c>
      <c r="N9" s="42">
        <f t="shared" si="2"/>
        <v>0.41076221723705914</v>
      </c>
      <c r="O9" s="41">
        <v>29270460.301365163</v>
      </c>
      <c r="P9" s="41">
        <v>388610</v>
      </c>
      <c r="Q9" s="42">
        <f t="shared" si="3"/>
        <v>1.3276525069948264</v>
      </c>
    </row>
    <row r="10" spans="1:17" x14ac:dyDescent="0.25">
      <c r="A10" s="23" t="s">
        <v>13</v>
      </c>
      <c r="B10" s="43">
        <v>662</v>
      </c>
      <c r="C10" s="41">
        <v>116327728.24533676</v>
      </c>
      <c r="D10" s="41">
        <v>10717800</v>
      </c>
      <c r="E10" s="42">
        <f t="shared" si="4"/>
        <v>9.2134525118517008</v>
      </c>
      <c r="F10" s="41">
        <v>116364344.91823617</v>
      </c>
      <c r="G10" s="41">
        <v>6157400</v>
      </c>
      <c r="H10" s="42">
        <f t="shared" si="0"/>
        <v>5.2914834044109647</v>
      </c>
      <c r="I10" s="41">
        <v>116371669.63580689</v>
      </c>
      <c r="J10" s="41">
        <v>1463380</v>
      </c>
      <c r="K10" s="42">
        <f t="shared" si="1"/>
        <v>1.2575053744435807</v>
      </c>
      <c r="L10" s="41">
        <v>116364344.91823617</v>
      </c>
      <c r="M10" s="41">
        <v>347829</v>
      </c>
      <c r="N10" s="42">
        <f t="shared" si="2"/>
        <v>0.2989137267471435</v>
      </c>
      <c r="O10" s="41">
        <v>116357020.66170107</v>
      </c>
      <c r="P10" s="41">
        <v>1178070</v>
      </c>
      <c r="Q10" s="42">
        <f t="shared" si="3"/>
        <v>1.0124614684189503</v>
      </c>
    </row>
    <row r="11" spans="1:17" x14ac:dyDescent="0.25">
      <c r="A11" s="23" t="s">
        <v>11</v>
      </c>
      <c r="B11" s="43">
        <v>898</v>
      </c>
      <c r="C11" s="41">
        <v>89150287.364886686</v>
      </c>
      <c r="D11" s="41">
        <v>5388300</v>
      </c>
      <c r="E11" s="42">
        <f t="shared" si="4"/>
        <v>6.0440635238179512</v>
      </c>
      <c r="F11" s="41">
        <v>92095493.770876706</v>
      </c>
      <c r="G11" s="41">
        <v>3554700</v>
      </c>
      <c r="H11" s="42">
        <f t="shared" si="0"/>
        <v>3.8597979710534984</v>
      </c>
      <c r="I11" s="41">
        <v>92696109.581686333</v>
      </c>
      <c r="J11" s="41">
        <v>973520</v>
      </c>
      <c r="K11" s="42">
        <f t="shared" si="1"/>
        <v>1.0502274630437514</v>
      </c>
      <c r="L11" s="41">
        <v>92095493.770876706</v>
      </c>
      <c r="M11" s="41">
        <v>238542</v>
      </c>
      <c r="N11" s="42">
        <f t="shared" si="2"/>
        <v>0.25901593034884618</v>
      </c>
      <c r="O11" s="41">
        <v>91498769.594288006</v>
      </c>
      <c r="P11" s="41">
        <v>776530</v>
      </c>
      <c r="Q11" s="42">
        <f t="shared" si="3"/>
        <v>0.8486780788891356</v>
      </c>
    </row>
    <row r="12" spans="1:17" x14ac:dyDescent="0.25">
      <c r="A12" s="23" t="s">
        <v>12</v>
      </c>
      <c r="B12" s="43">
        <v>1173</v>
      </c>
      <c r="C12" s="41">
        <v>152562263.17942107</v>
      </c>
      <c r="D12" s="41">
        <v>7666900</v>
      </c>
      <c r="E12" s="42">
        <f t="shared" si="4"/>
        <v>5.0254236140842581</v>
      </c>
      <c r="F12" s="41">
        <v>152837283.93758249</v>
      </c>
      <c r="G12" s="41">
        <v>5069910</v>
      </c>
      <c r="H12" s="42">
        <f t="shared" si="0"/>
        <v>3.3171945152273907</v>
      </c>
      <c r="I12" s="41">
        <v>152892347.55352983</v>
      </c>
      <c r="J12" s="41">
        <v>1366780</v>
      </c>
      <c r="K12" s="42">
        <f t="shared" si="1"/>
        <v>0.89394925375285406</v>
      </c>
      <c r="L12" s="41">
        <v>152837283.93758249</v>
      </c>
      <c r="M12" s="41">
        <v>342562</v>
      </c>
      <c r="N12" s="42">
        <f t="shared" si="2"/>
        <v>0.22413510052946214</v>
      </c>
      <c r="O12" s="41">
        <v>152782240.15259364</v>
      </c>
      <c r="P12" s="41">
        <v>1125550</v>
      </c>
      <c r="Q12" s="42">
        <f t="shared" si="3"/>
        <v>0.7367021185681264</v>
      </c>
    </row>
    <row r="13" spans="1:17" x14ac:dyDescent="0.25">
      <c r="A13" s="23" t="s">
        <v>12</v>
      </c>
      <c r="B13" s="43">
        <v>1333</v>
      </c>
      <c r="C13" s="41">
        <v>152745594.55916804</v>
      </c>
      <c r="D13" s="41">
        <v>7211140</v>
      </c>
      <c r="E13" s="42">
        <f t="shared" si="4"/>
        <v>4.7210134084794628</v>
      </c>
      <c r="F13" s="41">
        <v>153020945.80492187</v>
      </c>
      <c r="G13" s="41">
        <v>4788280</v>
      </c>
      <c r="H13" s="42">
        <f t="shared" si="0"/>
        <v>3.1291663862176877</v>
      </c>
      <c r="I13" s="41">
        <v>153076075.58984491</v>
      </c>
      <c r="J13" s="41">
        <v>1286896</v>
      </c>
      <c r="K13" s="42">
        <f t="shared" si="1"/>
        <v>0.84069048350059272</v>
      </c>
      <c r="L13" s="41">
        <v>153020945.80492187</v>
      </c>
      <c r="M13" s="41">
        <v>326424</v>
      </c>
      <c r="N13" s="42">
        <f t="shared" si="2"/>
        <v>0.21331981597874863</v>
      </c>
      <c r="O13" s="41">
        <v>152965835.87478784</v>
      </c>
      <c r="P13" s="41">
        <v>1072223</v>
      </c>
      <c r="Q13" s="42">
        <f t="shared" si="3"/>
        <v>0.70095586630055229</v>
      </c>
    </row>
    <row r="14" spans="1:17" x14ac:dyDescent="0.25">
      <c r="A14" s="23" t="s">
        <v>11</v>
      </c>
      <c r="B14" s="43">
        <v>1836</v>
      </c>
      <c r="C14" s="41">
        <v>94271686.851805732</v>
      </c>
      <c r="D14" s="41">
        <v>3509600</v>
      </c>
      <c r="E14" s="42">
        <f t="shared" si="4"/>
        <v>3.7228569013696133</v>
      </c>
      <c r="F14" s="41">
        <v>97386085.966224983</v>
      </c>
      <c r="G14" s="41">
        <v>2462790</v>
      </c>
      <c r="H14" s="42">
        <f t="shared" si="0"/>
        <v>2.5288930914156813</v>
      </c>
      <c r="I14" s="41">
        <v>98021205.23850663</v>
      </c>
      <c r="J14" s="41">
        <v>660209</v>
      </c>
      <c r="K14" s="42">
        <f t="shared" si="1"/>
        <v>0.67353691315421982</v>
      </c>
      <c r="L14" s="41">
        <v>97386085.966224983</v>
      </c>
      <c r="M14" s="41">
        <v>167436.9</v>
      </c>
      <c r="N14" s="42">
        <f t="shared" si="2"/>
        <v>0.17193102930337475</v>
      </c>
      <c r="O14" s="41">
        <v>96755081.890130118</v>
      </c>
      <c r="P14" s="41">
        <v>543841</v>
      </c>
      <c r="Q14" s="42">
        <f t="shared" si="3"/>
        <v>0.56208003690964436</v>
      </c>
    </row>
    <row r="17" spans="1:6" x14ac:dyDescent="0.25">
      <c r="A17" s="25" t="s">
        <v>76</v>
      </c>
      <c r="B17" t="s">
        <v>77</v>
      </c>
      <c r="C17" t="s">
        <v>69</v>
      </c>
      <c r="D17" t="s">
        <v>78</v>
      </c>
      <c r="E17" t="s">
        <v>108</v>
      </c>
      <c r="F17" t="s">
        <v>109</v>
      </c>
    </row>
    <row r="18" spans="1:6" x14ac:dyDescent="0.25">
      <c r="A18">
        <f>+B3</f>
        <v>60</v>
      </c>
      <c r="B18" s="39">
        <f>+E3</f>
        <v>3.4973873814471372</v>
      </c>
      <c r="C18" s="39">
        <f>+H3</f>
        <v>2.2158306728221069</v>
      </c>
      <c r="D18" s="39">
        <f>+K3</f>
        <v>0.89688412669019135</v>
      </c>
      <c r="E18" s="39">
        <f>+N3</f>
        <v>0.12664001563513597</v>
      </c>
      <c r="F18" s="39">
        <f>+Q3</f>
        <v>0.3604067087360594</v>
      </c>
    </row>
    <row r="19" spans="1:6" x14ac:dyDescent="0.25">
      <c r="A19">
        <f t="shared" ref="A19:A29" si="5">+B4</f>
        <v>88</v>
      </c>
      <c r="B19" s="39">
        <f t="shared" ref="B19:B29" si="6">+E4</f>
        <v>14.181334040202502</v>
      </c>
      <c r="C19" s="39">
        <f t="shared" ref="C19:C29" si="7">+H4</f>
        <v>8.5295806678093093</v>
      </c>
      <c r="D19" s="39">
        <f t="shared" ref="D19:D29" si="8">+K4</f>
        <v>2.5857866917164842</v>
      </c>
      <c r="E19" s="39">
        <f t="shared" ref="E19:E29" si="9">+N4</f>
        <v>0.41879192648729957</v>
      </c>
      <c r="F19" s="39">
        <f t="shared" ref="F19:F29" si="10">+Q4</f>
        <v>1.467388632254456</v>
      </c>
    </row>
    <row r="20" spans="1:6" x14ac:dyDescent="0.25">
      <c r="A20">
        <f t="shared" si="5"/>
        <v>122</v>
      </c>
      <c r="B20" s="39">
        <f t="shared" si="6"/>
        <v>18.072446893742082</v>
      </c>
      <c r="C20" s="39">
        <f t="shared" si="7"/>
        <v>10.242489154780539</v>
      </c>
      <c r="D20" s="39">
        <f t="shared" si="8"/>
        <v>2.6465028604264167</v>
      </c>
      <c r="E20" s="39">
        <f t="shared" si="9"/>
        <v>0.52594440251785546</v>
      </c>
      <c r="F20" s="39">
        <f t="shared" si="10"/>
        <v>1.8036023770044454</v>
      </c>
    </row>
    <row r="21" spans="1:6" x14ac:dyDescent="0.25">
      <c r="A21">
        <f t="shared" si="5"/>
        <v>159</v>
      </c>
      <c r="B21" s="39">
        <f t="shared" si="6"/>
        <v>18.209934485654124</v>
      </c>
      <c r="C21" s="39">
        <f t="shared" si="7"/>
        <v>10.303930363703042</v>
      </c>
      <c r="D21" s="39">
        <f t="shared" si="8"/>
        <v>2.6777390323230237</v>
      </c>
      <c r="E21" s="39">
        <f t="shared" si="9"/>
        <v>0.56013371627382114</v>
      </c>
      <c r="F21" s="39">
        <f t="shared" si="10"/>
        <v>1.7787810451661097</v>
      </c>
    </row>
    <row r="22" spans="1:6" x14ac:dyDescent="0.25">
      <c r="A22">
        <f t="shared" si="5"/>
        <v>320</v>
      </c>
      <c r="B22" s="39">
        <f t="shared" si="6"/>
        <v>11.546049176572621</v>
      </c>
      <c r="C22" s="39">
        <f t="shared" si="7"/>
        <v>5.7290843799605264</v>
      </c>
      <c r="D22" s="39">
        <f t="shared" si="8"/>
        <v>1.7247496892901575</v>
      </c>
      <c r="E22" s="39">
        <f t="shared" si="9"/>
        <v>0.51179310529126676</v>
      </c>
      <c r="F22" s="39">
        <f t="shared" si="10"/>
        <v>1.7010931997590342</v>
      </c>
    </row>
    <row r="23" spans="1:6" x14ac:dyDescent="0.25">
      <c r="A23">
        <f t="shared" si="5"/>
        <v>392</v>
      </c>
      <c r="B23" s="39">
        <f t="shared" si="6"/>
        <v>12.544469784617773</v>
      </c>
      <c r="C23" s="39">
        <f t="shared" si="7"/>
        <v>7.006868733287015</v>
      </c>
      <c r="D23" s="39">
        <f t="shared" si="8"/>
        <v>1.7341074359985982</v>
      </c>
      <c r="E23" s="39">
        <f t="shared" si="9"/>
        <v>0.39783286255760641</v>
      </c>
      <c r="F23" s="39">
        <f t="shared" si="10"/>
        <v>1.3391883525291532</v>
      </c>
    </row>
    <row r="24" spans="1:6" x14ac:dyDescent="0.25">
      <c r="A24">
        <f t="shared" si="5"/>
        <v>514</v>
      </c>
      <c r="B24" s="39">
        <f t="shared" si="6"/>
        <v>10.757917527639036</v>
      </c>
      <c r="C24" s="39">
        <f t="shared" si="7"/>
        <v>6.1625824896037527</v>
      </c>
      <c r="D24" s="39">
        <f t="shared" si="8"/>
        <v>1.5454009811545917</v>
      </c>
      <c r="E24" s="39">
        <f t="shared" si="9"/>
        <v>0.41076221723705914</v>
      </c>
      <c r="F24" s="39">
        <f t="shared" si="10"/>
        <v>1.3276525069948264</v>
      </c>
    </row>
    <row r="25" spans="1:6" x14ac:dyDescent="0.25">
      <c r="A25">
        <f t="shared" si="5"/>
        <v>662</v>
      </c>
      <c r="B25" s="39">
        <f t="shared" si="6"/>
        <v>9.2134525118517008</v>
      </c>
      <c r="C25" s="39">
        <f t="shared" si="7"/>
        <v>5.2914834044109647</v>
      </c>
      <c r="D25" s="39">
        <f t="shared" si="8"/>
        <v>1.2575053744435807</v>
      </c>
      <c r="E25" s="39">
        <f t="shared" si="9"/>
        <v>0.2989137267471435</v>
      </c>
      <c r="F25" s="39">
        <f t="shared" si="10"/>
        <v>1.0124614684189503</v>
      </c>
    </row>
    <row r="26" spans="1:6" x14ac:dyDescent="0.25">
      <c r="A26">
        <f t="shared" si="5"/>
        <v>898</v>
      </c>
      <c r="B26" s="39">
        <f t="shared" si="6"/>
        <v>6.0440635238179512</v>
      </c>
      <c r="C26" s="39">
        <f t="shared" si="7"/>
        <v>3.8597979710534984</v>
      </c>
      <c r="D26" s="39">
        <f t="shared" si="8"/>
        <v>1.0502274630437514</v>
      </c>
      <c r="E26" s="39">
        <f t="shared" si="9"/>
        <v>0.25901593034884618</v>
      </c>
      <c r="F26" s="39">
        <f t="shared" si="10"/>
        <v>0.8486780788891356</v>
      </c>
    </row>
    <row r="27" spans="1:6" x14ac:dyDescent="0.25">
      <c r="A27">
        <f t="shared" si="5"/>
        <v>1173</v>
      </c>
      <c r="B27" s="39">
        <f t="shared" si="6"/>
        <v>5.0254236140842581</v>
      </c>
      <c r="C27" s="39">
        <f t="shared" si="7"/>
        <v>3.3171945152273907</v>
      </c>
      <c r="D27" s="39">
        <f t="shared" si="8"/>
        <v>0.89394925375285406</v>
      </c>
      <c r="E27" s="39">
        <f t="shared" si="9"/>
        <v>0.22413510052946214</v>
      </c>
      <c r="F27" s="39">
        <f t="shared" si="10"/>
        <v>0.7367021185681264</v>
      </c>
    </row>
    <row r="28" spans="1:6" x14ac:dyDescent="0.25">
      <c r="A28">
        <f t="shared" si="5"/>
        <v>1333</v>
      </c>
      <c r="B28" s="39">
        <f t="shared" si="6"/>
        <v>4.7210134084794628</v>
      </c>
      <c r="C28" s="39">
        <f t="shared" si="7"/>
        <v>3.1291663862176877</v>
      </c>
      <c r="D28" s="39">
        <f t="shared" si="8"/>
        <v>0.84069048350059272</v>
      </c>
      <c r="E28" s="39">
        <f t="shared" si="9"/>
        <v>0.21331981597874863</v>
      </c>
      <c r="F28" s="39">
        <f t="shared" si="10"/>
        <v>0.70095586630055229</v>
      </c>
    </row>
    <row r="29" spans="1:6" x14ac:dyDescent="0.25">
      <c r="A29">
        <f t="shared" si="5"/>
        <v>1836</v>
      </c>
      <c r="B29" s="39">
        <f t="shared" si="6"/>
        <v>3.7228569013696133</v>
      </c>
      <c r="C29" s="39">
        <f t="shared" si="7"/>
        <v>2.5288930914156813</v>
      </c>
      <c r="D29" s="39">
        <f t="shared" si="8"/>
        <v>0.67353691315421982</v>
      </c>
      <c r="E29" s="39">
        <f t="shared" si="9"/>
        <v>0.17193102930337475</v>
      </c>
      <c r="F29" s="39">
        <f t="shared" si="10"/>
        <v>0.56208003690964436</v>
      </c>
    </row>
    <row r="30" spans="1:6" x14ac:dyDescent="0.25">
      <c r="B30" s="39"/>
      <c r="C30" s="39"/>
      <c r="D30" s="39"/>
      <c r="E30" s="39"/>
      <c r="F30" s="39"/>
    </row>
    <row r="31" spans="1:6" x14ac:dyDescent="0.25">
      <c r="B31" s="39"/>
      <c r="C31" s="39"/>
      <c r="D31" s="39"/>
      <c r="E31" s="39"/>
      <c r="F31" s="39"/>
    </row>
    <row r="32" spans="1:6" x14ac:dyDescent="0.25">
      <c r="B32" s="39"/>
      <c r="C32" s="39"/>
      <c r="D32" s="39"/>
      <c r="E32" s="39"/>
      <c r="F32" s="39"/>
    </row>
    <row r="33" spans="1:17" x14ac:dyDescent="0.25">
      <c r="B33" s="39"/>
      <c r="C33" s="39"/>
      <c r="D33" s="39"/>
      <c r="E33" s="39"/>
      <c r="F33" s="39"/>
    </row>
    <row r="34" spans="1:17" x14ac:dyDescent="0.25">
      <c r="B34" s="39"/>
      <c r="C34" s="39"/>
      <c r="D34" s="39"/>
      <c r="E34" s="39"/>
      <c r="F34" s="39"/>
    </row>
    <row r="35" spans="1:17" x14ac:dyDescent="0.25">
      <c r="B35" s="39"/>
      <c r="C35" s="39"/>
      <c r="D35" s="39"/>
      <c r="E35" s="39"/>
      <c r="F35" s="39"/>
    </row>
    <row r="36" spans="1:17" x14ac:dyDescent="0.25">
      <c r="B36" s="39"/>
      <c r="C36" s="39"/>
      <c r="D36" s="39"/>
      <c r="E36" s="39"/>
      <c r="F36" s="39"/>
    </row>
    <row r="37" spans="1:17" x14ac:dyDescent="0.25">
      <c r="B37" s="39"/>
      <c r="C37" s="39"/>
      <c r="D37" s="39"/>
      <c r="E37" s="39"/>
      <c r="F37" s="39"/>
    </row>
    <row r="39" spans="1:17" x14ac:dyDescent="0.25">
      <c r="A39" t="s">
        <v>79</v>
      </c>
    </row>
    <row r="40" spans="1:17" x14ac:dyDescent="0.25">
      <c r="A40" s="4"/>
      <c r="B40" s="4"/>
      <c r="C40" s="61" t="s">
        <v>68</v>
      </c>
      <c r="D40" s="61"/>
      <c r="E40" s="61"/>
      <c r="F40" s="61" t="s">
        <v>69</v>
      </c>
      <c r="G40" s="61"/>
      <c r="H40" s="61"/>
      <c r="I40" s="61" t="s">
        <v>70</v>
      </c>
      <c r="J40" s="61"/>
      <c r="K40" s="61"/>
      <c r="L40" s="61" t="s">
        <v>71</v>
      </c>
      <c r="M40" s="61"/>
      <c r="N40" s="61"/>
      <c r="O40" s="61" t="s">
        <v>72</v>
      </c>
      <c r="P40" s="61"/>
      <c r="Q40" s="61"/>
    </row>
    <row r="41" spans="1:17" x14ac:dyDescent="0.25">
      <c r="A41" s="23" t="s">
        <v>21</v>
      </c>
      <c r="B41" s="23" t="s">
        <v>76</v>
      </c>
      <c r="C41" s="4" t="s">
        <v>73</v>
      </c>
      <c r="D41" s="4" t="s">
        <v>74</v>
      </c>
      <c r="E41" s="4" t="s">
        <v>75</v>
      </c>
      <c r="F41" s="4" t="s">
        <v>73</v>
      </c>
      <c r="G41" s="4" t="s">
        <v>74</v>
      </c>
      <c r="H41" s="4" t="s">
        <v>75</v>
      </c>
      <c r="I41" s="4" t="s">
        <v>73</v>
      </c>
      <c r="J41" s="4" t="s">
        <v>74</v>
      </c>
      <c r="K41" s="4" t="s">
        <v>75</v>
      </c>
      <c r="L41" s="4" t="s">
        <v>73</v>
      </c>
      <c r="M41" s="4" t="s">
        <v>74</v>
      </c>
      <c r="N41" s="4" t="s">
        <v>75</v>
      </c>
      <c r="O41" s="4" t="s">
        <v>73</v>
      </c>
      <c r="P41" s="4" t="s">
        <v>74</v>
      </c>
      <c r="Q41" s="4" t="s">
        <v>75</v>
      </c>
    </row>
    <row r="42" spans="1:17" x14ac:dyDescent="0.25">
      <c r="A42" s="23" t="s">
        <v>20</v>
      </c>
      <c r="B42" s="34">
        <v>60</v>
      </c>
      <c r="C42" s="41">
        <f t="shared" ref="C42:C53" si="11">+C3/2</f>
        <v>16909765.361916885</v>
      </c>
      <c r="D42" s="41">
        <v>1188300</v>
      </c>
      <c r="E42" s="42">
        <f>100*D42/C42</f>
        <v>7.0273003472668814</v>
      </c>
      <c r="F42" s="41">
        <f t="shared" ref="F42:F53" si="12">+F3/4</f>
        <v>8455068.4444397967</v>
      </c>
      <c r="G42" s="41">
        <v>763700</v>
      </c>
      <c r="H42" s="42">
        <f t="shared" ref="H42:H53" si="13">100*G42/F42</f>
        <v>9.032452014060544</v>
      </c>
      <c r="I42" s="41">
        <f t="shared" ref="I42:I53" si="14">+I3*(41.5)^2/(4*(70^2))</f>
        <v>2971797.06439002</v>
      </c>
      <c r="J42" s="41">
        <v>313930.00000000012</v>
      </c>
      <c r="K42" s="42">
        <f t="shared" ref="K42:K53" si="15">100*J42/I42</f>
        <v>10.563641904143148</v>
      </c>
      <c r="L42" s="41">
        <f t="shared" ref="L42:L53" si="16">+L3*(83*84.5*0.83)/(4*(160^2+110^2))</f>
        <v>1305535.4563425772</v>
      </c>
      <c r="M42" s="41">
        <v>43529.999999999971</v>
      </c>
      <c r="N42" s="42">
        <f t="shared" ref="N42:N53" si="17">100*M42/L42</f>
        <v>3.334264097426209</v>
      </c>
      <c r="O42" s="41">
        <f>+O3*(83*84.5)/(4*(134.5^2+60^2))</f>
        <v>2733917.8645867719</v>
      </c>
      <c r="P42" s="41">
        <v>43529.999999999971</v>
      </c>
      <c r="Q42" s="42">
        <f t="shared" ref="Q42:Q53" si="18">100*P42/O42</f>
        <v>1.5922204746476345</v>
      </c>
    </row>
    <row r="43" spans="1:17" x14ac:dyDescent="0.25">
      <c r="A43" s="23" t="s">
        <v>19</v>
      </c>
      <c r="B43" s="34">
        <v>88</v>
      </c>
      <c r="C43" s="41">
        <f t="shared" si="11"/>
        <v>11975601.133049322</v>
      </c>
      <c r="D43" s="41">
        <v>3535354</v>
      </c>
      <c r="E43" s="42">
        <f t="shared" ref="E43:E53" si="19">100*D43/C43</f>
        <v>29.521307203889815</v>
      </c>
      <c r="F43" s="41">
        <f t="shared" si="12"/>
        <v>6032828.8111748481</v>
      </c>
      <c r="G43" s="41">
        <v>2071500</v>
      </c>
      <c r="H43" s="42">
        <f t="shared" si="13"/>
        <v>34.337125498454029</v>
      </c>
      <c r="I43" s="41">
        <f t="shared" si="14"/>
        <v>2123595.7632762771</v>
      </c>
      <c r="J43" s="41">
        <v>645470</v>
      </c>
      <c r="K43" s="42">
        <f t="shared" si="15"/>
        <v>30.395144460270107</v>
      </c>
      <c r="L43" s="41">
        <f t="shared" si="16"/>
        <v>931520.77559032047</v>
      </c>
      <c r="M43" s="41">
        <v>104990</v>
      </c>
      <c r="N43" s="42">
        <f t="shared" si="17"/>
        <v>11.27081679240767</v>
      </c>
      <c r="O43" s="41">
        <f t="shared" ref="O43:O53" si="20">+O4*(83*84.5)/(4*(134.5^2+60^2))</f>
        <v>1947782.7285973043</v>
      </c>
      <c r="P43" s="41">
        <v>104990</v>
      </c>
      <c r="Q43" s="42">
        <f t="shared" si="18"/>
        <v>5.3902315930077345</v>
      </c>
    </row>
    <row r="44" spans="1:17" x14ac:dyDescent="0.25">
      <c r="A44" s="23" t="s">
        <v>18</v>
      </c>
      <c r="B44" s="34">
        <v>122</v>
      </c>
      <c r="C44" s="41">
        <f t="shared" si="11"/>
        <v>8787409.9690944944</v>
      </c>
      <c r="D44" s="41">
        <v>3309400</v>
      </c>
      <c r="E44" s="42">
        <f t="shared" si="19"/>
        <v>37.660698791102604</v>
      </c>
      <c r="F44" s="41">
        <f t="shared" si="12"/>
        <v>4450090.1403177148</v>
      </c>
      <c r="G44" s="41">
        <v>1807000</v>
      </c>
      <c r="H44" s="42">
        <f t="shared" si="13"/>
        <v>40.605919049338382</v>
      </c>
      <c r="I44" s="41">
        <f t="shared" si="14"/>
        <v>1568109.9283019921</v>
      </c>
      <c r="J44" s="41">
        <v>483740</v>
      </c>
      <c r="K44" s="42">
        <f t="shared" si="15"/>
        <v>30.848602592792183</v>
      </c>
      <c r="L44" s="41">
        <f t="shared" si="16"/>
        <v>687132.28051109228</v>
      </c>
      <c r="M44" s="41">
        <v>90509.999999999971</v>
      </c>
      <c r="N44" s="42">
        <f t="shared" si="17"/>
        <v>13.172136219925251</v>
      </c>
      <c r="O44" s="41">
        <f t="shared" si="20"/>
        <v>1435262.9321019619</v>
      </c>
      <c r="P44" s="41">
        <v>90509.999999999971</v>
      </c>
      <c r="Q44" s="42">
        <f t="shared" si="18"/>
        <v>6.3061616081345351</v>
      </c>
    </row>
    <row r="45" spans="1:17" x14ac:dyDescent="0.25">
      <c r="A45" s="23" t="s">
        <v>17</v>
      </c>
      <c r="B45" s="34">
        <v>159</v>
      </c>
      <c r="C45" s="41">
        <f t="shared" si="11"/>
        <v>6604362.0362690138</v>
      </c>
      <c r="D45" s="41">
        <v>2868800</v>
      </c>
      <c r="E45" s="42">
        <f t="shared" si="19"/>
        <v>43.437957886703984</v>
      </c>
      <c r="F45" s="41">
        <f t="shared" si="12"/>
        <v>3399188.3450008743</v>
      </c>
      <c r="G45" s="41">
        <v>1390400</v>
      </c>
      <c r="H45" s="42">
        <f t="shared" si="13"/>
        <v>40.903882306046278</v>
      </c>
      <c r="I45" s="41">
        <f t="shared" si="14"/>
        <v>1201683.8177369975</v>
      </c>
      <c r="J45" s="41">
        <v>367210.00000000012</v>
      </c>
      <c r="K45" s="42">
        <f t="shared" si="15"/>
        <v>30.557954977834971</v>
      </c>
      <c r="L45" s="41">
        <f t="shared" si="16"/>
        <v>524863.98381593672</v>
      </c>
      <c r="M45" s="41">
        <v>77090</v>
      </c>
      <c r="N45" s="42">
        <f t="shared" si="17"/>
        <v>14.687614768216694</v>
      </c>
      <c r="O45" s="41">
        <f t="shared" si="20"/>
        <v>1092774.6258327144</v>
      </c>
      <c r="P45" s="41">
        <v>77090</v>
      </c>
      <c r="Q45" s="42">
        <f t="shared" si="18"/>
        <v>7.0545195850659512</v>
      </c>
    </row>
    <row r="46" spans="1:17" x14ac:dyDescent="0.25">
      <c r="A46" s="23" t="s">
        <v>16</v>
      </c>
      <c r="B46" s="34">
        <v>320</v>
      </c>
      <c r="C46" s="41">
        <f t="shared" si="11"/>
        <v>576820.68542661297</v>
      </c>
      <c r="D46" s="41">
        <v>328200</v>
      </c>
      <c r="E46" s="42">
        <f t="shared" si="19"/>
        <v>56.898098194461483</v>
      </c>
      <c r="F46" s="41">
        <f t="shared" si="12"/>
        <v>326841.05797947798</v>
      </c>
      <c r="G46" s="41">
        <v>95400</v>
      </c>
      <c r="H46" s="42">
        <f t="shared" si="13"/>
        <v>29.188499324338274</v>
      </c>
      <c r="I46" s="41">
        <f t="shared" si="14"/>
        <v>117788.22477436914</v>
      </c>
      <c r="J46" s="41">
        <v>30110</v>
      </c>
      <c r="K46" s="42">
        <f t="shared" si="15"/>
        <v>25.562826893501136</v>
      </c>
      <c r="L46" s="41">
        <f t="shared" si="16"/>
        <v>50467.076947358808</v>
      </c>
      <c r="M46" s="41">
        <v>7489.9999999999854</v>
      </c>
      <c r="N46" s="42">
        <f t="shared" si="17"/>
        <v>14.841358868104555</v>
      </c>
      <c r="O46" s="41">
        <f t="shared" si="20"/>
        <v>103072.23560680647</v>
      </c>
      <c r="P46" s="41">
        <v>7489.9999999999854</v>
      </c>
      <c r="Q46" s="42">
        <f t="shared" si="18"/>
        <v>7.266748369146053</v>
      </c>
    </row>
    <row r="47" spans="1:17" x14ac:dyDescent="0.25">
      <c r="A47" s="23" t="s">
        <v>15</v>
      </c>
      <c r="B47" s="34">
        <v>392</v>
      </c>
      <c r="C47" s="41">
        <f t="shared" si="11"/>
        <v>17817285.531993512</v>
      </c>
      <c r="D47" s="41">
        <v>5344900</v>
      </c>
      <c r="E47" s="42">
        <f t="shared" si="19"/>
        <v>29.998396727730828</v>
      </c>
      <c r="F47" s="41">
        <f t="shared" si="12"/>
        <v>9180991.1743304413</v>
      </c>
      <c r="G47" s="41">
        <v>2571200</v>
      </c>
      <c r="H47" s="42">
        <f t="shared" si="13"/>
        <v>28.005690792830052</v>
      </c>
      <c r="I47" s="41">
        <f t="shared" si="14"/>
        <v>3246424.3596343882</v>
      </c>
      <c r="J47" s="41">
        <v>638500</v>
      </c>
      <c r="K47" s="42">
        <f t="shared" si="15"/>
        <v>19.667792292930791</v>
      </c>
      <c r="L47" s="41">
        <f t="shared" si="16"/>
        <v>1417624.1837922609</v>
      </c>
      <c r="M47" s="41">
        <v>143960</v>
      </c>
      <c r="N47" s="42">
        <f t="shared" si="17"/>
        <v>10.155018632293306</v>
      </c>
      <c r="O47" s="41">
        <f t="shared" si="20"/>
        <v>2950830.12423862</v>
      </c>
      <c r="P47" s="41">
        <v>143960</v>
      </c>
      <c r="Q47" s="42">
        <f t="shared" si="18"/>
        <v>4.8786271638441026</v>
      </c>
    </row>
    <row r="48" spans="1:17" x14ac:dyDescent="0.25">
      <c r="A48" s="23" t="s">
        <v>14</v>
      </c>
      <c r="B48" s="34">
        <v>514</v>
      </c>
      <c r="C48" s="41">
        <f t="shared" si="11"/>
        <v>14022695.341586903</v>
      </c>
      <c r="D48" s="41">
        <v>4063400</v>
      </c>
      <c r="E48" s="42">
        <f t="shared" si="19"/>
        <v>28.977310716786622</v>
      </c>
      <c r="F48" s="41">
        <f t="shared" si="12"/>
        <v>7396249.8801262686</v>
      </c>
      <c r="G48" s="41">
        <v>1810700</v>
      </c>
      <c r="H48" s="42">
        <f t="shared" si="13"/>
        <v>24.481325392552687</v>
      </c>
      <c r="I48" s="41">
        <f t="shared" si="14"/>
        <v>2627566.4206295703</v>
      </c>
      <c r="J48" s="41">
        <v>468170</v>
      </c>
      <c r="K48" s="42">
        <f t="shared" si="15"/>
        <v>17.817627608737119</v>
      </c>
      <c r="L48" s="41">
        <f t="shared" si="16"/>
        <v>1142044.7422663246</v>
      </c>
      <c r="M48" s="41">
        <v>125681.99999999997</v>
      </c>
      <c r="N48" s="42">
        <f t="shared" si="17"/>
        <v>11.004997908452429</v>
      </c>
      <c r="O48" s="41">
        <f t="shared" si="20"/>
        <v>2366136.5512571842</v>
      </c>
      <c r="P48" s="41">
        <v>125681.99999999997</v>
      </c>
      <c r="Q48" s="42">
        <f t="shared" si="18"/>
        <v>5.3116968221137597</v>
      </c>
    </row>
    <row r="49" spans="1:17" x14ac:dyDescent="0.25">
      <c r="A49" s="23" t="s">
        <v>13</v>
      </c>
      <c r="B49" s="34">
        <v>662</v>
      </c>
      <c r="C49" s="41">
        <f t="shared" si="11"/>
        <v>58163864.122668378</v>
      </c>
      <c r="D49" s="41">
        <v>10790999.999999998</v>
      </c>
      <c r="E49" s="42">
        <f t="shared" si="19"/>
        <v>18.552756359587171</v>
      </c>
      <c r="F49" s="41">
        <f t="shared" si="12"/>
        <v>29091086.229559042</v>
      </c>
      <c r="G49" s="41">
        <v>6161400</v>
      </c>
      <c r="H49" s="42">
        <f t="shared" si="13"/>
        <v>21.179683533918677</v>
      </c>
      <c r="I49" s="41">
        <f t="shared" si="14"/>
        <v>10225566.736238183</v>
      </c>
      <c r="J49" s="41">
        <v>1474000</v>
      </c>
      <c r="K49" s="42">
        <f t="shared" si="15"/>
        <v>14.414848956746042</v>
      </c>
      <c r="L49" s="41">
        <f t="shared" si="16"/>
        <v>4491914.4990700334</v>
      </c>
      <c r="M49" s="41">
        <v>351530.00000000006</v>
      </c>
      <c r="N49" s="42">
        <f t="shared" si="17"/>
        <v>7.8258390731341336</v>
      </c>
      <c r="O49" s="41">
        <f t="shared" si="20"/>
        <v>9405953.8780193925</v>
      </c>
      <c r="P49" s="41">
        <v>351530.00000000006</v>
      </c>
      <c r="Q49" s="42">
        <f t="shared" si="18"/>
        <v>3.7373136691801596</v>
      </c>
    </row>
    <row r="50" spans="1:17" x14ac:dyDescent="0.25">
      <c r="A50" s="23" t="s">
        <v>11</v>
      </c>
      <c r="B50" s="34">
        <v>898</v>
      </c>
      <c r="C50" s="41">
        <f t="shared" si="11"/>
        <v>44575143.682443343</v>
      </c>
      <c r="D50" s="41">
        <v>6480400</v>
      </c>
      <c r="E50" s="42">
        <f t="shared" si="19"/>
        <v>14.538147192899375</v>
      </c>
      <c r="F50" s="41">
        <f t="shared" si="12"/>
        <v>23023873.442719176</v>
      </c>
      <c r="G50" s="41">
        <v>3566600</v>
      </c>
      <c r="H50" s="42">
        <f t="shared" si="13"/>
        <v>15.490877366370617</v>
      </c>
      <c r="I50" s="41">
        <f t="shared" si="14"/>
        <v>8145197.6901560863</v>
      </c>
      <c r="J50" s="41">
        <v>968770</v>
      </c>
      <c r="K50" s="42">
        <f t="shared" si="15"/>
        <v>11.893756749094146</v>
      </c>
      <c r="L50" s="41">
        <f t="shared" si="16"/>
        <v>3555084.5412234506</v>
      </c>
      <c r="M50" s="41">
        <v>237200</v>
      </c>
      <c r="N50" s="42">
        <f t="shared" si="17"/>
        <v>6.6721338761291378</v>
      </c>
      <c r="O50" s="41">
        <f t="shared" si="20"/>
        <v>7396487.1376487007</v>
      </c>
      <c r="P50" s="41">
        <v>237200</v>
      </c>
      <c r="Q50" s="42">
        <f t="shared" si="18"/>
        <v>3.2069277697061538</v>
      </c>
    </row>
    <row r="51" spans="1:17" x14ac:dyDescent="0.25">
      <c r="A51" s="23" t="s">
        <v>12</v>
      </c>
      <c r="B51" s="34">
        <v>1173</v>
      </c>
      <c r="C51" s="41">
        <f t="shared" si="11"/>
        <v>76281131.589710534</v>
      </c>
      <c r="D51" s="41">
        <v>7810900</v>
      </c>
      <c r="E51" s="42">
        <f t="shared" si="19"/>
        <v>10.239622613377175</v>
      </c>
      <c r="F51" s="41">
        <f t="shared" si="12"/>
        <v>38209320.984395623</v>
      </c>
      <c r="G51" s="41">
        <v>5077360</v>
      </c>
      <c r="H51" s="42">
        <f t="shared" si="13"/>
        <v>13.288275921138595</v>
      </c>
      <c r="I51" s="41">
        <f t="shared" si="14"/>
        <v>13434634.978268711</v>
      </c>
      <c r="J51" s="41">
        <v>1360830</v>
      </c>
      <c r="K51" s="42">
        <f t="shared" si="15"/>
        <v>10.129266647000236</v>
      </c>
      <c r="L51" s="41">
        <f t="shared" si="16"/>
        <v>5899848.5506888255</v>
      </c>
      <c r="M51" s="41">
        <v>343288</v>
      </c>
      <c r="N51" s="42">
        <f t="shared" si="17"/>
        <v>5.818590037534439</v>
      </c>
      <c r="O51" s="41">
        <f t="shared" si="20"/>
        <v>12350459.783891559</v>
      </c>
      <c r="P51" s="41">
        <v>343288</v>
      </c>
      <c r="Q51" s="42">
        <f t="shared" si="18"/>
        <v>2.7795564376294979</v>
      </c>
    </row>
    <row r="52" spans="1:17" x14ac:dyDescent="0.25">
      <c r="A52" s="23" t="s">
        <v>12</v>
      </c>
      <c r="B52" s="34">
        <v>1333</v>
      </c>
      <c r="C52" s="41">
        <f t="shared" si="11"/>
        <v>76372797.27958402</v>
      </c>
      <c r="D52" s="41">
        <v>7297630.0000000009</v>
      </c>
      <c r="E52" s="42">
        <f t="shared" si="19"/>
        <v>9.5552739456235738</v>
      </c>
      <c r="F52" s="41">
        <f t="shared" si="12"/>
        <v>38255236.451230466</v>
      </c>
      <c r="G52" s="41">
        <v>4784775</v>
      </c>
      <c r="H52" s="42">
        <f t="shared" si="13"/>
        <v>12.50750340048179</v>
      </c>
      <c r="I52" s="41">
        <f t="shared" si="14"/>
        <v>13450779.14207196</v>
      </c>
      <c r="J52" s="41">
        <v>1282235</v>
      </c>
      <c r="K52" s="42">
        <f t="shared" si="15"/>
        <v>9.5327935018230043</v>
      </c>
      <c r="L52" s="41">
        <f t="shared" si="16"/>
        <v>5906938.2945911158</v>
      </c>
      <c r="M52" s="41">
        <v>324413</v>
      </c>
      <c r="N52" s="42">
        <f t="shared" si="17"/>
        <v>5.4920668512325506</v>
      </c>
      <c r="O52" s="41">
        <f t="shared" si="20"/>
        <v>12365301.113493672</v>
      </c>
      <c r="P52" s="41">
        <v>324413</v>
      </c>
      <c r="Q52" s="42">
        <f t="shared" si="18"/>
        <v>2.623575414964892</v>
      </c>
    </row>
    <row r="53" spans="1:17" x14ac:dyDescent="0.25">
      <c r="A53" s="23" t="s">
        <v>11</v>
      </c>
      <c r="B53" s="34">
        <v>1836</v>
      </c>
      <c r="C53" s="41">
        <f t="shared" si="11"/>
        <v>47135843.425902866</v>
      </c>
      <c r="D53" s="41">
        <v>4198730</v>
      </c>
      <c r="E53" s="42">
        <f t="shared" si="19"/>
        <v>8.9077222233232476</v>
      </c>
      <c r="F53" s="41">
        <f t="shared" si="12"/>
        <v>24346521.491556246</v>
      </c>
      <c r="G53" s="41">
        <v>2426760</v>
      </c>
      <c r="H53" s="42">
        <f t="shared" si="13"/>
        <v>9.9675840790711661</v>
      </c>
      <c r="I53" s="41">
        <f t="shared" si="14"/>
        <v>8613113.3021437768</v>
      </c>
      <c r="J53" s="41">
        <v>656680</v>
      </c>
      <c r="K53" s="42">
        <f t="shared" si="15"/>
        <v>7.6241885711239208</v>
      </c>
      <c r="L53" s="41">
        <f t="shared" si="16"/>
        <v>3759312.8021022459</v>
      </c>
      <c r="M53" s="41">
        <v>167199.1</v>
      </c>
      <c r="N53" s="42">
        <f t="shared" si="17"/>
        <v>4.4475974413861108</v>
      </c>
      <c r="O53" s="41">
        <f t="shared" si="20"/>
        <v>7821391.7178966077</v>
      </c>
      <c r="P53" s="41">
        <v>167199.1</v>
      </c>
      <c r="Q53" s="42">
        <f t="shared" si="18"/>
        <v>2.1377154607590034</v>
      </c>
    </row>
    <row r="56" spans="1:17" x14ac:dyDescent="0.25">
      <c r="A56" s="25" t="s">
        <v>76</v>
      </c>
      <c r="B56" t="s">
        <v>77</v>
      </c>
      <c r="C56" t="s">
        <v>69</v>
      </c>
      <c r="D56" t="s">
        <v>78</v>
      </c>
      <c r="E56" t="s">
        <v>108</v>
      </c>
      <c r="F56" t="s">
        <v>109</v>
      </c>
    </row>
    <row r="57" spans="1:17" x14ac:dyDescent="0.25">
      <c r="A57">
        <f>+B42</f>
        <v>60</v>
      </c>
      <c r="B57" s="39">
        <f>+E42</f>
        <v>7.0273003472668814</v>
      </c>
      <c r="C57" s="39">
        <f>+H42</f>
        <v>9.032452014060544</v>
      </c>
      <c r="D57" s="39">
        <f>+K42</f>
        <v>10.563641904143148</v>
      </c>
      <c r="E57" s="39">
        <f>+N42</f>
        <v>3.334264097426209</v>
      </c>
      <c r="F57" s="39">
        <f>+Q42</f>
        <v>1.5922204746476345</v>
      </c>
    </row>
    <row r="58" spans="1:17" x14ac:dyDescent="0.25">
      <c r="A58">
        <f t="shared" ref="A58:A68" si="21">+B43</f>
        <v>88</v>
      </c>
      <c r="B58" s="39">
        <f t="shared" ref="B58:B68" si="22">+E43</f>
        <v>29.521307203889815</v>
      </c>
      <c r="C58" s="39">
        <f t="shared" ref="C58:C68" si="23">+H43</f>
        <v>34.337125498454029</v>
      </c>
      <c r="D58" s="39">
        <f t="shared" ref="D58:D68" si="24">+K43</f>
        <v>30.395144460270107</v>
      </c>
      <c r="E58" s="39">
        <f t="shared" ref="E58:E68" si="25">+N43</f>
        <v>11.27081679240767</v>
      </c>
      <c r="F58" s="39">
        <f t="shared" ref="F58:F68" si="26">+Q43</f>
        <v>5.3902315930077345</v>
      </c>
    </row>
    <row r="59" spans="1:17" x14ac:dyDescent="0.25">
      <c r="A59">
        <f t="shared" si="21"/>
        <v>122</v>
      </c>
      <c r="B59" s="39">
        <f t="shared" si="22"/>
        <v>37.660698791102604</v>
      </c>
      <c r="C59" s="39">
        <f t="shared" si="23"/>
        <v>40.605919049338382</v>
      </c>
      <c r="D59" s="39">
        <f t="shared" si="24"/>
        <v>30.848602592792183</v>
      </c>
      <c r="E59" s="39">
        <f t="shared" si="25"/>
        <v>13.172136219925251</v>
      </c>
      <c r="F59" s="39">
        <f t="shared" si="26"/>
        <v>6.3061616081345351</v>
      </c>
    </row>
    <row r="60" spans="1:17" x14ac:dyDescent="0.25">
      <c r="A60">
        <f t="shared" si="21"/>
        <v>159</v>
      </c>
      <c r="B60" s="39">
        <f t="shared" si="22"/>
        <v>43.437957886703984</v>
      </c>
      <c r="C60" s="39">
        <f t="shared" si="23"/>
        <v>40.903882306046278</v>
      </c>
      <c r="D60" s="39">
        <f t="shared" si="24"/>
        <v>30.557954977834971</v>
      </c>
      <c r="E60" s="39">
        <f t="shared" si="25"/>
        <v>14.687614768216694</v>
      </c>
      <c r="F60" s="39">
        <f t="shared" si="26"/>
        <v>7.0545195850659512</v>
      </c>
    </row>
    <row r="61" spans="1:17" x14ac:dyDescent="0.25">
      <c r="A61">
        <f t="shared" si="21"/>
        <v>320</v>
      </c>
      <c r="B61" s="39">
        <f t="shared" si="22"/>
        <v>56.898098194461483</v>
      </c>
      <c r="C61" s="39">
        <f t="shared" si="23"/>
        <v>29.188499324338274</v>
      </c>
      <c r="D61" s="39">
        <f t="shared" si="24"/>
        <v>25.562826893501136</v>
      </c>
      <c r="E61" s="39">
        <f t="shared" si="25"/>
        <v>14.841358868104555</v>
      </c>
      <c r="F61" s="39">
        <f t="shared" si="26"/>
        <v>7.266748369146053</v>
      </c>
    </row>
    <row r="62" spans="1:17" x14ac:dyDescent="0.25">
      <c r="A62">
        <f t="shared" si="21"/>
        <v>392</v>
      </c>
      <c r="B62" s="39">
        <f t="shared" si="22"/>
        <v>29.998396727730828</v>
      </c>
      <c r="C62" s="39">
        <f t="shared" si="23"/>
        <v>28.005690792830052</v>
      </c>
      <c r="D62" s="39">
        <f t="shared" si="24"/>
        <v>19.667792292930791</v>
      </c>
      <c r="E62" s="39">
        <f t="shared" si="25"/>
        <v>10.155018632293306</v>
      </c>
      <c r="F62" s="39">
        <f t="shared" si="26"/>
        <v>4.8786271638441026</v>
      </c>
    </row>
    <row r="63" spans="1:17" x14ac:dyDescent="0.25">
      <c r="A63">
        <f t="shared" si="21"/>
        <v>514</v>
      </c>
      <c r="B63" s="39">
        <f t="shared" si="22"/>
        <v>28.977310716786622</v>
      </c>
      <c r="C63" s="39">
        <f t="shared" si="23"/>
        <v>24.481325392552687</v>
      </c>
      <c r="D63" s="39">
        <f t="shared" si="24"/>
        <v>17.817627608737119</v>
      </c>
      <c r="E63" s="39">
        <f t="shared" si="25"/>
        <v>11.004997908452429</v>
      </c>
      <c r="F63" s="39">
        <f t="shared" si="26"/>
        <v>5.3116968221137597</v>
      </c>
    </row>
    <row r="64" spans="1:17" x14ac:dyDescent="0.25">
      <c r="A64">
        <f t="shared" si="21"/>
        <v>662</v>
      </c>
      <c r="B64" s="39">
        <f t="shared" si="22"/>
        <v>18.552756359587171</v>
      </c>
      <c r="C64" s="39">
        <f t="shared" si="23"/>
        <v>21.179683533918677</v>
      </c>
      <c r="D64" s="39">
        <f t="shared" si="24"/>
        <v>14.414848956746042</v>
      </c>
      <c r="E64" s="39">
        <f t="shared" si="25"/>
        <v>7.8258390731341336</v>
      </c>
      <c r="F64" s="39">
        <f t="shared" si="26"/>
        <v>3.7373136691801596</v>
      </c>
    </row>
    <row r="65" spans="1:6" x14ac:dyDescent="0.25">
      <c r="A65">
        <f t="shared" si="21"/>
        <v>898</v>
      </c>
      <c r="B65" s="39">
        <f t="shared" si="22"/>
        <v>14.538147192899375</v>
      </c>
      <c r="C65" s="39">
        <f t="shared" si="23"/>
        <v>15.490877366370617</v>
      </c>
      <c r="D65" s="39">
        <f t="shared" si="24"/>
        <v>11.893756749094146</v>
      </c>
      <c r="E65" s="39">
        <f t="shared" si="25"/>
        <v>6.6721338761291378</v>
      </c>
      <c r="F65" s="39">
        <f t="shared" si="26"/>
        <v>3.2069277697061538</v>
      </c>
    </row>
    <row r="66" spans="1:6" x14ac:dyDescent="0.25">
      <c r="A66">
        <f t="shared" si="21"/>
        <v>1173</v>
      </c>
      <c r="B66" s="39">
        <f t="shared" si="22"/>
        <v>10.239622613377175</v>
      </c>
      <c r="C66" s="39">
        <f t="shared" si="23"/>
        <v>13.288275921138595</v>
      </c>
      <c r="D66" s="39">
        <f t="shared" si="24"/>
        <v>10.129266647000236</v>
      </c>
      <c r="E66" s="39">
        <f t="shared" si="25"/>
        <v>5.818590037534439</v>
      </c>
      <c r="F66" s="39">
        <f t="shared" si="26"/>
        <v>2.7795564376294979</v>
      </c>
    </row>
    <row r="67" spans="1:6" x14ac:dyDescent="0.25">
      <c r="A67">
        <f t="shared" si="21"/>
        <v>1333</v>
      </c>
      <c r="B67" s="39">
        <f t="shared" si="22"/>
        <v>9.5552739456235738</v>
      </c>
      <c r="C67" s="39">
        <f t="shared" si="23"/>
        <v>12.50750340048179</v>
      </c>
      <c r="D67" s="39">
        <f t="shared" si="24"/>
        <v>9.5327935018230043</v>
      </c>
      <c r="E67" s="39">
        <f t="shared" si="25"/>
        <v>5.4920668512325506</v>
      </c>
      <c r="F67" s="39">
        <f t="shared" si="26"/>
        <v>2.623575414964892</v>
      </c>
    </row>
    <row r="68" spans="1:6" x14ac:dyDescent="0.25">
      <c r="A68">
        <f t="shared" si="21"/>
        <v>1836</v>
      </c>
      <c r="B68" s="39">
        <f t="shared" si="22"/>
        <v>8.9077222233232476</v>
      </c>
      <c r="C68" s="39">
        <f t="shared" si="23"/>
        <v>9.9675840790711661</v>
      </c>
      <c r="D68" s="39">
        <f t="shared" si="24"/>
        <v>7.6241885711239208</v>
      </c>
      <c r="E68" s="39">
        <f t="shared" si="25"/>
        <v>4.4475974413861108</v>
      </c>
      <c r="F68" s="39">
        <f t="shared" si="26"/>
        <v>2.1377154607590034</v>
      </c>
    </row>
  </sheetData>
  <mergeCells count="10">
    <mergeCell ref="C40:E40"/>
    <mergeCell ref="F40:H40"/>
    <mergeCell ref="I40:K40"/>
    <mergeCell ref="L40:N40"/>
    <mergeCell ref="O40:Q40"/>
    <mergeCell ref="C1:E1"/>
    <mergeCell ref="F1:H1"/>
    <mergeCell ref="I1:K1"/>
    <mergeCell ref="L1:N1"/>
    <mergeCell ref="O1:Q1"/>
  </mergeCells>
  <pageMargins left="0.7" right="0.7" top="0.75" bottom="0.75" header="0.3" footer="0.3"/>
  <pageSetup orientation="portrait" horizontalDpi="1200" verticalDpi="12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zoomScale="85" zoomScaleNormal="85" workbookViewId="0">
      <selection sqref="A1:N2"/>
    </sheetView>
  </sheetViews>
  <sheetFormatPr defaultRowHeight="15" x14ac:dyDescent="0.25"/>
  <cols>
    <col min="3" max="3" width="12" customWidth="1"/>
    <col min="4" max="4" width="13" customWidth="1"/>
    <col min="9" max="9" width="10.5703125" bestFit="1" customWidth="1"/>
    <col min="10" max="10" width="11.140625" customWidth="1"/>
    <col min="11" max="12" width="10.5703125" bestFit="1" customWidth="1"/>
    <col min="16" max="16" width="10.7109375" bestFit="1" customWidth="1"/>
  </cols>
  <sheetData>
    <row r="1" spans="1:21" x14ac:dyDescent="0.25">
      <c r="A1" s="62"/>
      <c r="B1" s="62"/>
      <c r="C1" s="62"/>
      <c r="D1" s="62"/>
      <c r="E1" s="62"/>
      <c r="F1" s="62"/>
      <c r="G1" s="62"/>
      <c r="H1" s="62"/>
      <c r="I1" s="62"/>
      <c r="J1" s="62"/>
      <c r="K1" s="62"/>
      <c r="L1" s="62"/>
      <c r="M1" s="62"/>
      <c r="N1" s="62"/>
    </row>
    <row r="2" spans="1:21" x14ac:dyDescent="0.25">
      <c r="A2" s="62"/>
      <c r="B2" s="62"/>
      <c r="C2" s="62"/>
      <c r="D2" s="62"/>
      <c r="E2" s="62"/>
      <c r="F2" s="62"/>
      <c r="G2" s="62"/>
      <c r="H2" s="62"/>
      <c r="I2" s="62"/>
      <c r="J2" s="62"/>
      <c r="K2" s="62"/>
      <c r="L2" s="62"/>
      <c r="M2" s="62"/>
      <c r="N2" s="62"/>
    </row>
    <row r="4" spans="1:21" ht="15.75" thickBot="1" x14ac:dyDescent="0.3"/>
    <row r="5" spans="1:21" x14ac:dyDescent="0.25">
      <c r="A5" s="9" t="s">
        <v>8</v>
      </c>
      <c r="B5" s="10"/>
      <c r="C5" s="10"/>
      <c r="D5" s="10"/>
      <c r="E5" s="10"/>
      <c r="F5" s="10"/>
      <c r="G5" s="10"/>
      <c r="H5" s="10"/>
      <c r="I5" s="10"/>
      <c r="J5" s="10"/>
      <c r="K5" s="10"/>
      <c r="L5" s="10"/>
      <c r="M5" s="10"/>
      <c r="N5" s="11"/>
      <c r="O5" s="63" t="s">
        <v>107</v>
      </c>
      <c r="P5" s="63"/>
      <c r="Q5" s="63"/>
      <c r="R5" s="63"/>
      <c r="S5" s="63"/>
      <c r="T5" s="63"/>
      <c r="U5" s="63"/>
    </row>
    <row r="6" spans="1:21" ht="30" x14ac:dyDescent="0.25">
      <c r="A6" s="12" t="s">
        <v>0</v>
      </c>
      <c r="B6" s="2" t="s">
        <v>80</v>
      </c>
      <c r="C6" s="50"/>
      <c r="D6" s="50" t="s">
        <v>81</v>
      </c>
      <c r="E6" s="8"/>
      <c r="F6" s="51"/>
      <c r="G6" s="51"/>
      <c r="H6" s="51"/>
      <c r="I6" s="51"/>
      <c r="J6" s="51"/>
      <c r="K6" s="51"/>
      <c r="L6" s="51"/>
      <c r="M6" s="51"/>
      <c r="N6" s="14"/>
      <c r="O6" s="63"/>
      <c r="P6" s="63"/>
      <c r="Q6" s="63"/>
      <c r="R6" s="63"/>
      <c r="S6" s="63"/>
      <c r="T6" s="63"/>
      <c r="U6" s="63"/>
    </row>
    <row r="7" spans="1:21" x14ac:dyDescent="0.25">
      <c r="A7" s="13">
        <v>186</v>
      </c>
      <c r="B7" s="5">
        <v>769</v>
      </c>
      <c r="C7" s="51"/>
      <c r="D7" s="52" t="s">
        <v>82</v>
      </c>
      <c r="E7" s="51">
        <v>0.23769999999999999</v>
      </c>
      <c r="F7" s="51" t="s">
        <v>84</v>
      </c>
      <c r="G7" s="51"/>
      <c r="H7" s="51"/>
      <c r="I7" s="51"/>
      <c r="J7" s="51"/>
      <c r="K7" s="51"/>
      <c r="L7" s="51"/>
      <c r="M7" s="51"/>
      <c r="N7" s="14"/>
      <c r="O7" s="63"/>
      <c r="P7" s="63"/>
      <c r="Q7" s="63"/>
      <c r="R7" s="63"/>
      <c r="S7" s="63"/>
      <c r="T7" s="63"/>
      <c r="U7" s="63"/>
    </row>
    <row r="8" spans="1:21" x14ac:dyDescent="0.25">
      <c r="A8" s="13">
        <v>511</v>
      </c>
      <c r="B8" s="5">
        <v>2141</v>
      </c>
      <c r="C8" s="51"/>
      <c r="D8" s="52" t="s">
        <v>83</v>
      </c>
      <c r="E8" s="51">
        <v>1.903</v>
      </c>
      <c r="F8" s="51" t="s">
        <v>85</v>
      </c>
      <c r="G8" s="51"/>
      <c r="H8" s="51"/>
      <c r="I8" s="51"/>
      <c r="J8" s="51"/>
      <c r="K8" s="51"/>
      <c r="L8" s="51"/>
      <c r="M8" s="51"/>
      <c r="N8" s="14"/>
      <c r="O8" s="63"/>
      <c r="P8" s="63"/>
      <c r="Q8" s="63"/>
      <c r="R8" s="63"/>
      <c r="S8" s="63"/>
      <c r="T8" s="63"/>
      <c r="U8" s="63"/>
    </row>
    <row r="9" spans="1:21" x14ac:dyDescent="0.25">
      <c r="A9" s="13">
        <v>609.29999999999995</v>
      </c>
      <c r="B9" s="5">
        <v>2559</v>
      </c>
      <c r="C9" s="51"/>
      <c r="D9" s="52"/>
      <c r="E9" s="51"/>
      <c r="F9" s="51"/>
      <c r="G9" s="51"/>
      <c r="H9" s="51"/>
      <c r="I9" s="51"/>
      <c r="J9" s="51"/>
      <c r="K9" s="51"/>
      <c r="L9" s="51"/>
      <c r="M9" s="51"/>
      <c r="N9" s="14"/>
      <c r="O9" s="63"/>
      <c r="P9" s="63"/>
      <c r="Q9" s="63"/>
      <c r="R9" s="63"/>
      <c r="S9" s="63"/>
      <c r="T9" s="63"/>
      <c r="U9" s="63"/>
    </row>
    <row r="10" spans="1:21" x14ac:dyDescent="0.25">
      <c r="A10" s="13">
        <v>911.2</v>
      </c>
      <c r="B10" s="5">
        <v>3835</v>
      </c>
      <c r="C10" s="51"/>
      <c r="D10" s="52"/>
      <c r="E10" s="51"/>
      <c r="F10" s="51"/>
      <c r="G10" s="51"/>
      <c r="H10" s="51"/>
      <c r="I10" s="51"/>
      <c r="J10" s="51"/>
      <c r="K10" s="51"/>
      <c r="L10" s="51"/>
      <c r="M10" s="51"/>
      <c r="N10" s="14"/>
      <c r="O10" s="63"/>
      <c r="P10" s="63"/>
      <c r="Q10" s="63"/>
      <c r="R10" s="63"/>
      <c r="S10" s="63"/>
      <c r="T10" s="63"/>
      <c r="U10" s="63"/>
    </row>
    <row r="11" spans="1:21" x14ac:dyDescent="0.25">
      <c r="A11" s="13">
        <v>1460.8</v>
      </c>
      <c r="B11" s="5">
        <v>6134</v>
      </c>
      <c r="C11" s="51"/>
      <c r="D11" s="52"/>
      <c r="E11" s="51"/>
      <c r="F11" s="51"/>
      <c r="G11" s="51"/>
      <c r="H11" s="51"/>
      <c r="I11" s="51"/>
      <c r="J11" s="51"/>
      <c r="K11" s="51"/>
      <c r="L11" s="51"/>
      <c r="M11" s="51"/>
      <c r="N11" s="14"/>
      <c r="O11" s="63"/>
      <c r="P11" s="63"/>
      <c r="Q11" s="63"/>
      <c r="R11" s="63"/>
      <c r="S11" s="63"/>
      <c r="T11" s="63"/>
      <c r="U11" s="63"/>
    </row>
    <row r="12" spans="1:21" x14ac:dyDescent="0.25">
      <c r="A12" s="13">
        <v>1764.5</v>
      </c>
      <c r="B12" s="5">
        <v>7415</v>
      </c>
      <c r="C12" s="51"/>
      <c r="D12" s="52"/>
      <c r="E12" s="51"/>
      <c r="F12" s="51"/>
      <c r="G12" s="51"/>
      <c r="H12" s="51"/>
      <c r="I12" s="51"/>
      <c r="J12" s="51"/>
      <c r="K12" s="51"/>
      <c r="L12" s="51"/>
      <c r="M12" s="51"/>
      <c r="N12" s="14"/>
      <c r="O12" s="63"/>
      <c r="P12" s="63"/>
      <c r="Q12" s="63"/>
      <c r="R12" s="63"/>
      <c r="S12" s="63"/>
      <c r="T12" s="63"/>
      <c r="U12" s="63"/>
    </row>
    <row r="13" spans="1:21" x14ac:dyDescent="0.25">
      <c r="A13" s="13"/>
      <c r="B13" s="5"/>
      <c r="C13" s="51"/>
      <c r="D13" s="52"/>
      <c r="E13" s="51"/>
      <c r="F13" s="51"/>
      <c r="G13" s="51"/>
      <c r="H13" s="51"/>
      <c r="I13" s="51"/>
      <c r="J13" s="51"/>
      <c r="K13" s="51"/>
      <c r="L13" s="51"/>
      <c r="M13" s="51"/>
      <c r="N13" s="14"/>
      <c r="O13" s="63"/>
      <c r="P13" s="63"/>
      <c r="Q13" s="63"/>
      <c r="R13" s="63"/>
      <c r="S13" s="63"/>
      <c r="T13" s="63"/>
      <c r="U13" s="63"/>
    </row>
    <row r="14" spans="1:21" x14ac:dyDescent="0.25">
      <c r="A14" s="13"/>
      <c r="B14" s="5"/>
      <c r="C14" s="51"/>
      <c r="D14" s="52"/>
      <c r="E14" s="51"/>
      <c r="F14" s="51"/>
      <c r="G14" s="51"/>
      <c r="H14" s="51"/>
      <c r="I14" s="51"/>
      <c r="J14" s="51"/>
      <c r="K14" s="51"/>
      <c r="L14" s="51"/>
      <c r="M14" s="51"/>
      <c r="N14" s="14"/>
      <c r="O14" s="63"/>
      <c r="P14" s="63"/>
      <c r="Q14" s="63"/>
      <c r="R14" s="63"/>
      <c r="S14" s="63"/>
      <c r="T14" s="63"/>
      <c r="U14" s="63"/>
    </row>
    <row r="15" spans="1:21" x14ac:dyDescent="0.25">
      <c r="A15" s="13"/>
      <c r="B15" s="5"/>
      <c r="C15" s="51"/>
      <c r="D15" s="52"/>
      <c r="E15" s="51"/>
      <c r="F15" s="51"/>
      <c r="G15" s="51"/>
      <c r="H15" s="51"/>
      <c r="I15" s="51"/>
      <c r="J15" s="51"/>
      <c r="K15" s="51"/>
      <c r="L15" s="51"/>
      <c r="M15" s="51"/>
      <c r="N15" s="14"/>
      <c r="O15" s="63"/>
      <c r="P15" s="63"/>
      <c r="Q15" s="63"/>
      <c r="R15" s="63"/>
      <c r="S15" s="63"/>
      <c r="T15" s="63"/>
      <c r="U15" s="63"/>
    </row>
    <row r="16" spans="1:21" ht="15.75" thickBot="1" x14ac:dyDescent="0.3">
      <c r="A16" s="15"/>
      <c r="B16" s="16"/>
      <c r="C16" s="53"/>
      <c r="D16" s="54"/>
      <c r="E16" s="53"/>
      <c r="F16" s="53"/>
      <c r="G16" s="53"/>
      <c r="H16" s="53"/>
      <c r="I16" s="53"/>
      <c r="J16" s="53"/>
      <c r="K16" s="53"/>
      <c r="L16" s="53"/>
      <c r="M16" s="53"/>
      <c r="N16" s="20"/>
      <c r="O16" s="63"/>
      <c r="P16" s="63"/>
      <c r="Q16" s="63"/>
      <c r="R16" s="63"/>
      <c r="S16" s="63"/>
      <c r="T16" s="63"/>
      <c r="U16" s="63"/>
    </row>
    <row r="17" spans="15:21" x14ac:dyDescent="0.25">
      <c r="O17" s="63"/>
      <c r="P17" s="63"/>
      <c r="Q17" s="63"/>
      <c r="R17" s="63"/>
      <c r="S17" s="63"/>
      <c r="T17" s="63"/>
      <c r="U17" s="63"/>
    </row>
    <row r="18" spans="15:21" x14ac:dyDescent="0.25">
      <c r="O18" s="63"/>
      <c r="P18" s="63"/>
      <c r="Q18" s="63"/>
      <c r="R18" s="63"/>
      <c r="S18" s="63"/>
      <c r="T18" s="63"/>
      <c r="U18" s="63"/>
    </row>
    <row r="19" spans="15:21" x14ac:dyDescent="0.25">
      <c r="O19" s="63"/>
      <c r="P19" s="63"/>
      <c r="Q19" s="63"/>
      <c r="R19" s="63"/>
      <c r="S19" s="63"/>
      <c r="T19" s="63"/>
      <c r="U19" s="63"/>
    </row>
    <row r="20" spans="15:21" x14ac:dyDescent="0.25">
      <c r="O20" s="63"/>
      <c r="P20" s="63"/>
      <c r="Q20" s="63"/>
      <c r="R20" s="63"/>
      <c r="S20" s="63"/>
      <c r="T20" s="63"/>
      <c r="U20" s="63"/>
    </row>
    <row r="21" spans="15:21" x14ac:dyDescent="0.25">
      <c r="O21" s="63"/>
      <c r="P21" s="63"/>
      <c r="Q21" s="63"/>
      <c r="R21" s="63"/>
      <c r="S21" s="63"/>
      <c r="T21" s="63"/>
      <c r="U21" s="63"/>
    </row>
    <row r="22" spans="15:21" x14ac:dyDescent="0.25">
      <c r="O22" s="63"/>
      <c r="P22" s="63"/>
      <c r="Q22" s="63"/>
      <c r="R22" s="63"/>
      <c r="S22" s="63"/>
      <c r="T22" s="63"/>
      <c r="U22" s="63"/>
    </row>
    <row r="23" spans="15:21" x14ac:dyDescent="0.25">
      <c r="O23" s="63"/>
      <c r="P23" s="63"/>
      <c r="Q23" s="63"/>
      <c r="R23" s="63"/>
      <c r="S23" s="63"/>
      <c r="T23" s="63"/>
      <c r="U23" s="63"/>
    </row>
    <row r="24" spans="15:21" x14ac:dyDescent="0.25">
      <c r="O24" s="63"/>
      <c r="P24" s="63"/>
      <c r="Q24" s="63"/>
      <c r="R24" s="63"/>
      <c r="S24" s="63"/>
      <c r="T24" s="63"/>
      <c r="U24" s="63"/>
    </row>
    <row r="25" spans="15:21" x14ac:dyDescent="0.25">
      <c r="O25" s="63"/>
      <c r="P25" s="63"/>
      <c r="Q25" s="63"/>
      <c r="R25" s="63"/>
      <c r="S25" s="63"/>
      <c r="T25" s="63"/>
      <c r="U25" s="63"/>
    </row>
    <row r="26" spans="15:21" x14ac:dyDescent="0.25">
      <c r="O26" s="63"/>
      <c r="P26" s="63"/>
      <c r="Q26" s="63"/>
      <c r="R26" s="63"/>
      <c r="S26" s="63"/>
      <c r="T26" s="63"/>
      <c r="U26" s="63"/>
    </row>
    <row r="27" spans="15:21" x14ac:dyDescent="0.25">
      <c r="O27" s="63"/>
      <c r="P27" s="63"/>
      <c r="Q27" s="63"/>
      <c r="R27" s="63"/>
      <c r="S27" s="63"/>
      <c r="T27" s="63"/>
      <c r="U27" s="63"/>
    </row>
    <row r="28" spans="15:21" x14ac:dyDescent="0.25">
      <c r="O28" s="63"/>
      <c r="P28" s="63"/>
      <c r="Q28" s="63"/>
      <c r="R28" s="63"/>
      <c r="S28" s="63"/>
      <c r="T28" s="63"/>
      <c r="U28" s="63"/>
    </row>
    <row r="29" spans="15:21" x14ac:dyDescent="0.25">
      <c r="O29" s="63"/>
      <c r="P29" s="63"/>
      <c r="Q29" s="63"/>
      <c r="R29" s="63"/>
      <c r="S29" s="63"/>
      <c r="T29" s="63"/>
      <c r="U29" s="63"/>
    </row>
    <row r="30" spans="15:21" x14ac:dyDescent="0.25">
      <c r="O30" s="63"/>
      <c r="P30" s="63"/>
      <c r="Q30" s="63"/>
      <c r="R30" s="63"/>
      <c r="S30" s="63"/>
      <c r="T30" s="63"/>
      <c r="U30" s="63"/>
    </row>
    <row r="31" spans="15:21" x14ac:dyDescent="0.25">
      <c r="O31" s="63"/>
      <c r="P31" s="63"/>
      <c r="Q31" s="63"/>
      <c r="R31" s="63"/>
      <c r="S31" s="63"/>
      <c r="T31" s="63"/>
      <c r="U31" s="63"/>
    </row>
    <row r="32" spans="15:21" x14ac:dyDescent="0.25">
      <c r="O32" s="63"/>
      <c r="P32" s="63"/>
      <c r="Q32" s="63"/>
      <c r="R32" s="63"/>
      <c r="S32" s="63"/>
      <c r="T32" s="63"/>
      <c r="U32" s="63"/>
    </row>
    <row r="33" spans="15:21" x14ac:dyDescent="0.25">
      <c r="O33" s="63"/>
      <c r="P33" s="63"/>
      <c r="Q33" s="63"/>
      <c r="R33" s="63"/>
      <c r="S33" s="63"/>
      <c r="T33" s="63"/>
      <c r="U33" s="63"/>
    </row>
    <row r="34" spans="15:21" x14ac:dyDescent="0.25">
      <c r="O34" s="63"/>
      <c r="P34" s="63"/>
      <c r="Q34" s="63"/>
      <c r="R34" s="63"/>
      <c r="S34" s="63"/>
      <c r="T34" s="63"/>
      <c r="U34" s="63"/>
    </row>
    <row r="35" spans="15:21" x14ac:dyDescent="0.25">
      <c r="O35" s="63"/>
      <c r="P35" s="63"/>
      <c r="Q35" s="63"/>
      <c r="R35" s="63"/>
      <c r="S35" s="63"/>
      <c r="T35" s="63"/>
      <c r="U35" s="63"/>
    </row>
    <row r="36" spans="15:21" x14ac:dyDescent="0.25">
      <c r="O36" s="63"/>
      <c r="P36" s="63"/>
      <c r="Q36" s="63"/>
      <c r="R36" s="63"/>
      <c r="S36" s="63"/>
      <c r="T36" s="63"/>
      <c r="U36" s="63"/>
    </row>
    <row r="37" spans="15:21" x14ac:dyDescent="0.25">
      <c r="O37" s="63"/>
      <c r="P37" s="63"/>
      <c r="Q37" s="63"/>
      <c r="R37" s="63"/>
      <c r="S37" s="63"/>
      <c r="T37" s="63"/>
      <c r="U37" s="63"/>
    </row>
  </sheetData>
  <mergeCells count="2">
    <mergeCell ref="A1:N2"/>
    <mergeCell ref="O5:U37"/>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E32" sqref="E32"/>
    </sheetView>
  </sheetViews>
  <sheetFormatPr defaultRowHeight="15" x14ac:dyDescent="0.25"/>
  <sheetData>
    <row r="1" spans="1:7" x14ac:dyDescent="0.25">
      <c r="A1" t="s">
        <v>57</v>
      </c>
      <c r="D1" t="s">
        <v>53</v>
      </c>
      <c r="E1" t="s">
        <v>98</v>
      </c>
      <c r="G1" t="s">
        <v>99</v>
      </c>
    </row>
    <row r="2" spans="1:7" x14ac:dyDescent="0.25">
      <c r="A2" t="s">
        <v>54</v>
      </c>
      <c r="D2" t="s">
        <v>55</v>
      </c>
      <c r="E2" t="s">
        <v>87</v>
      </c>
      <c r="G2" t="s">
        <v>90</v>
      </c>
    </row>
    <row r="3" spans="1:7" x14ac:dyDescent="0.25">
      <c r="A3" t="s">
        <v>56</v>
      </c>
      <c r="D3" t="s">
        <v>60</v>
      </c>
      <c r="E3" t="s">
        <v>88</v>
      </c>
      <c r="G3" t="s">
        <v>89</v>
      </c>
    </row>
    <row r="4" spans="1:7" x14ac:dyDescent="0.25">
      <c r="A4" t="s">
        <v>91</v>
      </c>
      <c r="D4" t="s">
        <v>92</v>
      </c>
      <c r="E4" t="s">
        <v>93</v>
      </c>
      <c r="G4" t="s">
        <v>94</v>
      </c>
    </row>
    <row r="5" spans="1:7" x14ac:dyDescent="0.25">
      <c r="A5" t="s">
        <v>58</v>
      </c>
      <c r="D5" t="s">
        <v>59</v>
      </c>
    </row>
    <row r="7" spans="1:7" x14ac:dyDescent="0.25">
      <c r="A7" t="s">
        <v>61</v>
      </c>
      <c r="D7" t="s">
        <v>62</v>
      </c>
      <c r="E7" t="s">
        <v>63</v>
      </c>
    </row>
    <row r="8" spans="1:7" x14ac:dyDescent="0.25">
      <c r="D8" t="s">
        <v>64</v>
      </c>
      <c r="E8" t="s">
        <v>96</v>
      </c>
    </row>
    <row r="9" spans="1:7" x14ac:dyDescent="0.25">
      <c r="A9" t="s">
        <v>65</v>
      </c>
      <c r="D9" t="s">
        <v>66</v>
      </c>
      <c r="E9" t="s">
        <v>97</v>
      </c>
    </row>
    <row r="10" spans="1:7" x14ac:dyDescent="0.25">
      <c r="D10" t="s">
        <v>67</v>
      </c>
      <c r="E10" t="s">
        <v>95</v>
      </c>
    </row>
    <row r="12" spans="1:7" s="49" customFormat="1" x14ac:dyDescent="0.25">
      <c r="A12" s="49" t="s">
        <v>112</v>
      </c>
      <c r="D12" s="49" t="s">
        <v>102</v>
      </c>
    </row>
    <row r="13" spans="1:7" s="49" customFormat="1" x14ac:dyDescent="0.25">
      <c r="A13" s="49" t="s">
        <v>101</v>
      </c>
      <c r="D13" s="49" t="s">
        <v>104</v>
      </c>
    </row>
    <row r="14" spans="1:7" s="49" customFormat="1" x14ac:dyDescent="0.25">
      <c r="A14" s="49" t="s">
        <v>100</v>
      </c>
      <c r="D14" s="49" t="s">
        <v>103</v>
      </c>
    </row>
    <row r="15" spans="1:7" s="49" customFormat="1" x14ac:dyDescent="0.25">
      <c r="A15" s="49" t="s">
        <v>110</v>
      </c>
      <c r="D15" s="49" t="s">
        <v>105</v>
      </c>
    </row>
    <row r="16" spans="1:7" s="49" customFormat="1" x14ac:dyDescent="0.25">
      <c r="A16" s="49" t="s">
        <v>111</v>
      </c>
      <c r="D16" s="49"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0cm centered</vt:lpstr>
      <vt:lpstr>0cm flush to side</vt:lpstr>
      <vt:lpstr>7cm centered</vt:lpstr>
      <vt:lpstr>Offset Below</vt:lpstr>
      <vt:lpstr>Offset Above</vt:lpstr>
      <vt:lpstr>Efficiency Errors</vt:lpstr>
      <vt:lpstr>Efficiency</vt:lpstr>
      <vt:lpstr>Background</vt:lpstr>
      <vt:lpstr>Geometric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O'Day, Buckley E Lt Col USAF AETC AFIT/ENP</dc:creator>
  <cp:lastModifiedBy>O'Day, Buckley E Lt Col USAF AETC AFIT/ENP</cp:lastModifiedBy>
  <dcterms:created xsi:type="dcterms:W3CDTF">2017-04-25T16:12:51Z</dcterms:created>
  <dcterms:modified xsi:type="dcterms:W3CDTF">2017-05-08T19:53:24Z</dcterms:modified>
</cp:coreProperties>
</file>