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15" activeTab="6"/>
  </bookViews>
  <sheets>
    <sheet name="首页" sheetId="10" r:id="rId1"/>
    <sheet name="总结" sheetId="11" r:id="rId2"/>
    <sheet name="攻速" sheetId="7" r:id="rId3"/>
    <sheet name="战士伤害对比" sheetId="2" r:id="rId4"/>
    <sheet name="法师伤害对比" sheetId="8" r:id="rId5"/>
    <sheet name="伤害的效率" sheetId="12" r:id="rId6"/>
    <sheet name="词缀" sheetId="4" r:id="rId7"/>
    <sheet name="费用" sheetId="5" r:id="rId8"/>
    <sheet name="凝晶石乾坤石" sheetId="6" r:id="rId9"/>
    <sheet name="三职业发展史" sheetId="1" r:id="rId10"/>
    <sheet name="手工" sheetId="9" r:id="rId11"/>
  </sheets>
  <calcPr calcId="144525"/>
</workbook>
</file>

<file path=xl/sharedStrings.xml><?xml version="1.0" encoding="utf-8"?>
<sst xmlns="http://schemas.openxmlformats.org/spreadsheetml/2006/main" count="1127">
  <si>
    <t>测试背景基本为3.09.01单机版本，部分为3.09.02单机版本。测试为手动测试，有一定误差，大部分数据是模拟数据，不一定是实时数据或真实数据，也可能有错误有误差，仅供参考</t>
  </si>
  <si>
    <t>战士</t>
  </si>
  <si>
    <t>1.攻速对战士提升很大，攻速7~10每点都是相当于10%以上的伤害提升，攻速10是战士标配</t>
  </si>
  <si>
    <t>2.攻杀会影响近战攻击时出现开天斩的概率，但学不学攻杀都不影响隔位刺杀时出开天斩的概率</t>
  </si>
  <si>
    <t>3.后期数据表明，隔位刺杀的伤害比近战的更高，可惜的是后期很多怪都是近身攻击</t>
  </si>
  <si>
    <t>4.3.09.02的手工手镯哪怕出极品属性，依旧没有隔位刺杀的输出和方便性香</t>
  </si>
  <si>
    <t>5.开天斩基本可以认为100%无视物防，真实伤害</t>
  </si>
  <si>
    <t>法师</t>
  </si>
  <si>
    <t>1.攻速对后期法师很重要，但法师追求的是攻速2或3，攻速太高对整体输出没太大提升</t>
  </si>
  <si>
    <t>2.后期法师单体输出跟战士差不多，群体输出全bm最强</t>
  </si>
  <si>
    <t>3.雷电术，火流星，强雷，冰焰术，火龙焰气，深渊术都是法师极其明显的强势期和主要输出技能</t>
  </si>
  <si>
    <t>4.寒冰掌和冰焰术不仅能减缓怪的移动速度，也能减缓攻速，是BM最强辅助技能</t>
  </si>
  <si>
    <t>5.法师推荐前期存防御装备和幸运，提升刷怪时的保命和输出能力</t>
  </si>
  <si>
    <t>6.后期法师推荐技能组合为：火龙焰气+火流星+火龙焰气+冰焰术</t>
  </si>
  <si>
    <t>7.雷电术前期优于灭天火，中期强雷优于灭天火，后期冰焰术比灭天火更适合</t>
  </si>
  <si>
    <t>8.前期攻速对雷电术、地狱雷光、灭天火等无cd的技能释放次数有显著的提升，预测10攻速时提升很大</t>
  </si>
  <si>
    <t>9.雷电术、灭天火等技能的基础伤害是范围值，所以幸运对其提升很大</t>
  </si>
  <si>
    <t>10.法师暴击几率加成低，所以每一点暴击几率都对总输出有略微的提升，略优于暴击伤害上限</t>
  </si>
  <si>
    <t>11.水火暗雷四系的词缀怪，特别是双词缀元素怪或3阶词缀的怪，对魔法伤害有极大的减免。贪婪词缀怪的攻击百分比吸蓝，所以法师也极度惧怕同时有攻速+贪婪词缀的怪，多只一起更是噩梦</t>
  </si>
  <si>
    <t>12.火龙气焰有百分比无视魔法防御的隐藏属性，是法师最强输出技能</t>
  </si>
  <si>
    <t>战士攻速对比</t>
  </si>
  <si>
    <t>攻速</t>
  </si>
  <si>
    <t>一分钟攻击次数</t>
  </si>
  <si>
    <t>每秒攻击频率</t>
  </si>
  <si>
    <t>每次攻击消耗的时间</t>
  </si>
  <si>
    <t>相对初始攻速倍数</t>
  </si>
  <si>
    <t>相对前一级攻速加成</t>
  </si>
  <si>
    <t>0</t>
  </si>
  <si>
    <t>55</t>
  </si>
  <si>
    <t>这里明显看出，攻速对战士的提升极其重要，10攻速是战士中后期标配。特别是7-10攻速，每级都相当于10%还多的伤害提升，在破防前提下，提升攻速比攻击更为有效的提升了输出。</t>
  </si>
  <si>
    <t>1</t>
  </si>
  <si>
    <t>57</t>
  </si>
  <si>
    <t>2</t>
  </si>
  <si>
    <t>60</t>
  </si>
  <si>
    <t>3</t>
  </si>
  <si>
    <t>64</t>
  </si>
  <si>
    <t>4</t>
  </si>
  <si>
    <t>67</t>
  </si>
  <si>
    <t>5</t>
  </si>
  <si>
    <t>70</t>
  </si>
  <si>
    <t>6</t>
  </si>
  <si>
    <t>7</t>
  </si>
  <si>
    <t>8</t>
  </si>
  <si>
    <t>9</t>
  </si>
  <si>
    <t>10</t>
  </si>
  <si>
    <t>超出10</t>
  </si>
  <si>
    <t>战士烈火</t>
  </si>
  <si>
    <t>烈火出现频率</t>
  </si>
  <si>
    <t>10分钟次数</t>
  </si>
  <si>
    <t>炙炎出现频率</t>
  </si>
  <si>
    <t>备注：10分钟次数是指第一个攻击就能触发烈火，第二个技能能使用炙炎。
实际中会遇到技能cd好了，战士却刚攻击完，空等一个普攻间隔时间，甚至会出现2个技能cd同时好的情况，而烈火跟炙炎是无法同时释放的，所以实际的技能出现频率会略低。-----这个猜测错误！！！！！！
说明：攻击分为准备，起手出刀，命中，收刀四个阶段，烈火跟炙炎在攻击的起手命中收刀时是无法触发技能，但是能让技能立刻进入cd，并在下一个攻击激活技能。
这里的公式是每次触发减去一个普攻消耗的时间+cd时间是不对的，但是实际情况是战士长按技能键不会立刻激活，所以需要有按键盘的时间，除非用点击软件或者疯狂按键盘，不然这个时间可能会比普攻时间长。所以用了这种接近现实使用次数的算法。
所以，实际极限的话，战士技能能接近极限次数。</t>
  </si>
  <si>
    <t>法师雷电术</t>
  </si>
  <si>
    <t>一分钟次数</t>
  </si>
  <si>
    <t>技能释放所需时间</t>
  </si>
  <si>
    <t>释放频率</t>
  </si>
  <si>
    <t>法师火龙焰气</t>
  </si>
  <si>
    <t>连续释放2次技能伤害次数</t>
  </si>
  <si>
    <t>连续释放3次技能伤害次数</t>
  </si>
  <si>
    <t>连续释放4次技能伤害次数</t>
  </si>
  <si>
    <t>6-7</t>
  </si>
  <si>
    <t>8-9</t>
  </si>
  <si>
    <t>7-8</t>
  </si>
  <si>
    <t>法师火流星</t>
  </si>
  <si>
    <t>30次火流星所需时间</t>
  </si>
  <si>
    <t>一分钟火流星次数</t>
  </si>
  <si>
    <t>备注：因为火流星技能cd是4秒，远超出技能释放时的前摇后摇时间，所以计算技能释放前摇后摇的时间必须先减去cd时间</t>
  </si>
  <si>
    <t>法师冰焰术</t>
  </si>
  <si>
    <t>冰焰术次数</t>
  </si>
  <si>
    <t>备注：因为冰焰术技能cd是2秒，超出技能释放时的前摇后摇时间，所以计算技能释放前摇后摇的时间必须先减去cd时间</t>
  </si>
  <si>
    <t>法师火龙+火流星+火龙+冰焰术</t>
  </si>
  <si>
    <t>每分钟释放次数</t>
  </si>
  <si>
    <t>整套技能出现伤害次数</t>
  </si>
  <si>
    <t>整套技能耗时</t>
  </si>
  <si>
    <t>这里可以看出，攻速1跟攻速2对法师的加成很大。法师因为缺暴击几率，所以装备更为固定，ss套魔法基本固定。10分钟差二三十个技能，而且哪怕ss套，基础技能伤害也能占技能总伤害的20%-40%，所以实际的差距会比表面6%更多，攻速0,1,2之间的实际伤害差距约为8%-9%，所以武器词缀能2速建议考虑下。
0速15-21%跟2速3-4%的比，还略差了一些</t>
  </si>
  <si>
    <t>9-10</t>
  </si>
  <si>
    <t>火龙气焰测试</t>
  </si>
  <si>
    <t>第一个技能释放时间</t>
  </si>
  <si>
    <t>最后一个技能结束释放时间</t>
  </si>
  <si>
    <t>技能耗时</t>
  </si>
  <si>
    <t>第一段伤害出现时间</t>
  </si>
  <si>
    <t>最后一段伤害出现时间</t>
  </si>
  <si>
    <t>耗时</t>
  </si>
  <si>
    <t>释放技能次数</t>
  </si>
  <si>
    <t>伤害次数</t>
  </si>
  <si>
    <t>每次技能耗时</t>
  </si>
  <si>
    <t>每次伤害耗时</t>
  </si>
  <si>
    <t>平均一个技能伤害次数</t>
  </si>
  <si>
    <t>上面可以看出，火龙气焰的每段伤害出现频率基本差不多，约为0.98s，也就是说，在连续释放火龙技能时，攻速对火龙气焰技能的伤害提升几乎为零。但单独释放时，技能第一段伤害大概是技能释放后的第1s，2段在第2s，第3段在第3s，所以，我们要保证火流星+火龙或者冰焰+火龙这小组合的释放时间略大于某个时间值才能发挥火龙技能三段伤害的优势，这个数值大概就是2.6-2.8s之间。</t>
  </si>
  <si>
    <t>攻速\火龙气焰次数</t>
  </si>
  <si>
    <t>不加ss套1.08倍，粗糙计算，只供参考</t>
  </si>
  <si>
    <t>冰川套</t>
  </si>
  <si>
    <t>ss全套，神圣攻击石头</t>
  </si>
  <si>
    <t>攻速6战士即1.2167攻速的战士，10分钟攻击1.2167*60*10=730下
其中出现攻杀128次，开天斩58次,即攻杀出现概率为17.53%，开天斩为7.95%，两者出现概率和为25.08%，总次数为186次。攻杀不会触发暴击。
前提：武器勋章普攻伤害加成为1.15-1.25，10攻速，10幸运，勋章+护符暴击概率+10%,暴击上限+10%，开启血龙技能，暴击概率+30%，暴击上限+18%
表面数据为，1.65攻击频率，50%概率出现最高伤害，暴击概率为44%，暴击上限为157%
暴击概率为：勋章+护符+石头+套装+血龙
暴击上限为：1.25+勋章+护符+石头+套装+血龙
冰川套，暴击上限+15%,3级烈火，3级炙炎，不带烈火石
数据：攻击63-417，暴击概率约44%，暴击上限为约173%</t>
  </si>
  <si>
    <t>冰川套带火石</t>
  </si>
  <si>
    <t>ss全套，火石</t>
  </si>
  <si>
    <t>新手工装备</t>
  </si>
  <si>
    <t>ss全套，冰川戒指，狂风项链，神圣攻击石头，手工手算2火，2烈火，2炙炎加成</t>
  </si>
  <si>
    <t>超极品新手工装备</t>
  </si>
  <si>
    <t>ss全套，冰川戒指，狂风项链，神圣攻击石头，手工手算4火，2烈火，2炙炎加成</t>
  </si>
  <si>
    <t>新手工装备带火石</t>
  </si>
  <si>
    <t>ss全套，冰川戒指，狂风项链，火石</t>
  </si>
  <si>
    <t>一般的新手工装备</t>
  </si>
  <si>
    <t>ss全套，冰川戒指，狂风项链，神圣攻击石头，手工手算2火，1烈火，1炙炎加成</t>
  </si>
  <si>
    <t>隔位刺杀伤害</t>
  </si>
  <si>
    <t>基础条件跟冰川套一样，手动按炙炎技能</t>
  </si>
  <si>
    <t>冰川套的武器，潜能由7%</t>
  </si>
  <si>
    <t>攻击力</t>
  </si>
  <si>
    <t>63-417</t>
  </si>
  <si>
    <t>63-409</t>
  </si>
  <si>
    <t>75-388.6</t>
  </si>
  <si>
    <t>75-380.6</t>
  </si>
  <si>
    <t>攻击力下限</t>
  </si>
  <si>
    <t>攻击力上限</t>
  </si>
  <si>
    <t>攻击力平均值</t>
  </si>
  <si>
    <t>近身攻击跟隔位挂机攻击测试</t>
  </si>
  <si>
    <t>普攻伤害加成下限</t>
  </si>
  <si>
    <t>普攻伤害加成上限</t>
  </si>
  <si>
    <t>普攻伤害加成平均值</t>
  </si>
  <si>
    <t>攻击频率</t>
  </si>
  <si>
    <t>10分钟攻击次数</t>
  </si>
  <si>
    <t>幸运</t>
  </si>
  <si>
    <t>出现最高攻击概率</t>
  </si>
  <si>
    <t>暴击概率</t>
  </si>
  <si>
    <t>暴击上限</t>
  </si>
  <si>
    <t>攻杀次数</t>
  </si>
  <si>
    <t>攻杀总伤害</t>
  </si>
  <si>
    <t>开天斩次数</t>
  </si>
  <si>
    <t>出幸运次数</t>
  </si>
  <si>
    <t>出幸运时暴击次数</t>
  </si>
  <si>
    <t>出幸运时，暴击总伤害</t>
  </si>
  <si>
    <t>出幸运时不暴击次数</t>
  </si>
  <si>
    <t>出幸运时，不暴击总伤害</t>
  </si>
  <si>
    <t>不出幸运次数</t>
  </si>
  <si>
    <t>不出幸运时暴击次数</t>
  </si>
  <si>
    <t>不出幸运时，出暴击总伤害</t>
  </si>
  <si>
    <t>不出幸运时不暴击次数</t>
  </si>
  <si>
    <t>不出幸运时，不暴击总伤害</t>
  </si>
  <si>
    <t>开天斩总伤害</t>
  </si>
  <si>
    <t>烈火次数</t>
  </si>
  <si>
    <t>普通攻击次数</t>
  </si>
  <si>
    <t>烈火总伤害</t>
  </si>
  <si>
    <t>炙炎次数</t>
  </si>
  <si>
    <t>普攻总伤害</t>
  </si>
  <si>
    <t>总伤害</t>
  </si>
  <si>
    <t>10分钟测试</t>
  </si>
  <si>
    <t>攻击次数</t>
  </si>
  <si>
    <t>攻杀概率</t>
  </si>
  <si>
    <t>开天次数</t>
  </si>
  <si>
    <t>开天概率</t>
  </si>
  <si>
    <t>备注</t>
  </si>
  <si>
    <t>炙炎总伤害</t>
  </si>
  <si>
    <t>攻速6近身不刺杀</t>
  </si>
  <si>
    <t>比较久之前的测试</t>
  </si>
  <si>
    <t>攻速6隔位刺杀刺杀</t>
  </si>
  <si>
    <t>攻速6近身刺杀</t>
  </si>
  <si>
    <t>刚开启服务器就进行测试，前2分钟攻杀开天触发概率大于1/3，个人认为数据无效</t>
  </si>
  <si>
    <t>攻速超10无攻杀</t>
  </si>
  <si>
    <t>刺杀出开天次数</t>
  </si>
  <si>
    <t>近身出开天次数</t>
  </si>
  <si>
    <t>从测试结果看来，战士学不学攻杀都基本不影响隔位刺杀时出开天斩的概率，但近战时是会有影响，且看输出明显近战时更低，对比隔位刺杀的无视防御，近战攻击输出极弱。</t>
  </si>
  <si>
    <t>从战士的输出来看，从隔位刺杀无视防御的属性来看，哪怕做挂件挂机，6级刺杀后的战士作用下极强，隔位刺杀的战士打怪的首选，攻杀只能属于前期过渡技能，烈火哪怕带了火石和极品火手，依旧挡不住隔位刺杀的荣光和方便性。但因为后期怪的各种减速和石化技能，其输出其实可能会是三职业垫底，无法充当主力输出，必要时只能做挂件，嗯，最方便的挂件。
从属性看，战士后期暴击几率高，暴击伤害高，所以幸运的作用很重要，能极大提升战士的有效输出。</t>
  </si>
  <si>
    <t>全套ss，无词缀冰川套，2速14-17%法师武器，亡魂棺，4-5%暴击几率和伤害神圣魔法宝石，2运项链</t>
  </si>
  <si>
    <t>全套ss，无词缀冰川套，1速15-21%法师武器，亡魂棺，4-5%暴击几率和伤害神圣魔法宝石，2运项链</t>
  </si>
  <si>
    <t>全套ss，无词缀冰川套，3速10-13%法师武器，亡魂棺，4-5%暴击几率和伤害神圣魔法宝石，2运项链</t>
  </si>
  <si>
    <t>全套ss，3件冰川套，3速10-13%法师武器，亡魂棺，4-5%暴击几率和伤害神圣魔法宝石，2运项链，2个词缀手，分别+1火，+1火龙</t>
  </si>
  <si>
    <t>4+深渊术</t>
  </si>
  <si>
    <t>4--2运链子重新洗为3运链子，5魔法，开深渊术</t>
  </si>
  <si>
    <t>4-武器没幸运，总的为7运，深渊术</t>
  </si>
  <si>
    <t>4-链子不洗幸运，魔法+8，深渊术</t>
  </si>
  <si>
    <t>全套ss，无词缀冰川套，0速15-17%法师武器，亡魂棺，4-5%暴击几率和伤害神圣魔法宝石，2运项链，深渊术</t>
  </si>
  <si>
    <t>全套ss，无词缀冰川套，2速2-4%法师武器，亡魂棺，4-5%暴击几率和伤害神圣魔法宝石，2运项链，深渊术</t>
  </si>
  <si>
    <t>4+深渊术，武器原暴击潜能为7%暴击几率，5%暴击伤害，换为5%暴击几率，7%暴击伤害</t>
  </si>
  <si>
    <t>0速15-21</t>
  </si>
  <si>
    <t>2速2-4</t>
  </si>
  <si>
    <t>无冰冻表面伤害</t>
  </si>
  <si>
    <t>全程冰冻伤害</t>
  </si>
  <si>
    <t>魔法</t>
  </si>
  <si>
    <t>52-302</t>
  </si>
  <si>
    <t>66-280</t>
  </si>
  <si>
    <t>52-301</t>
  </si>
  <si>
    <t>52-304</t>
  </si>
  <si>
    <t>魔法下限</t>
  </si>
  <si>
    <t>魔法上限</t>
  </si>
  <si>
    <t>魔法平均值</t>
  </si>
  <si>
    <t>魔法伤害加成下限</t>
  </si>
  <si>
    <t>魔法伤害加成上限</t>
  </si>
  <si>
    <t>魔法伤害加成平均值</t>
  </si>
  <si>
    <t>10分钟技能释放次数</t>
  </si>
  <si>
    <t>火龙气焰释放次数</t>
  </si>
  <si>
    <t>火龙气焰伤害次数</t>
  </si>
  <si>
    <t>火龙气焰总伤害</t>
  </si>
  <si>
    <t>火流星释放次数</t>
  </si>
  <si>
    <t>火流星伤害次数</t>
  </si>
  <si>
    <t>火流星总伤害</t>
  </si>
  <si>
    <t>冰焰术释放次数</t>
  </si>
  <si>
    <t>冰焰术总伤害</t>
  </si>
  <si>
    <t>雷电术释放次数</t>
  </si>
  <si>
    <t>雷电术总伤害</t>
  </si>
  <si>
    <t>注：实际情况中怪不会一直被冰的情况，不过目前这套技能组合就是最大程度上让怪多处于冰冻状态，实际伤害略低一点吧</t>
  </si>
  <si>
    <t>从上面属性可以看出，法师伤害非常高，群怪时伤害更是可观，效率极高，全bm最强。同时法师对攻速也有一定的追求，不需要多，2点攻速足矣。3.09.02的手工手镯对法师提升也是不错的。</t>
  </si>
  <si>
    <t>备注：实际情况中，3级火龙焰气基础技能伤害大约为123-155，所以实际肯定没有表格中计算的160基础技能伤害那么高。
不计幸运暴击等加成，法师一套技能伤害为3段火龙+3段火雨+3段火龙+1段冰焰，伤害为：（100+x）*3+(160+x)*6+(200+x)=10x+1460</t>
  </si>
  <si>
    <t>攻速\魔法（x）</t>
  </si>
  <si>
    <t>粗略的伤害对比（雷电，灭天火，冰焰术）</t>
  </si>
  <si>
    <t>算85吧</t>
  </si>
  <si>
    <t>3级雷电</t>
  </si>
  <si>
    <t>6级雷电</t>
  </si>
  <si>
    <t>3级灭天火</t>
  </si>
  <si>
    <t>3级灭天火+冰冻</t>
  </si>
  <si>
    <t>3级冰焰术</t>
  </si>
  <si>
    <t>大概伤害（一段伤害）</t>
  </si>
  <si>
    <t>3级雷电术（3.08）</t>
  </si>
  <si>
    <t>25-65</t>
  </si>
  <si>
    <t>3级雷电术（3.09）</t>
  </si>
  <si>
    <t>30-129</t>
  </si>
  <si>
    <t>6级雷电术</t>
  </si>
  <si>
    <t>40-201</t>
  </si>
  <si>
    <t>这里可以看到雷电术，灭天火，火龙气焰的基础技能伤害都是范围值，而非固定数值，且前期主力输出雷电术范围值较大，所以天龙套前，每一点幸运对法师都是巨大的提升，远比追求魔法更好。</t>
  </si>
  <si>
    <t>45-96</t>
  </si>
  <si>
    <t>3级火流星</t>
  </si>
  <si>
    <t>3级火墙</t>
  </si>
  <si>
    <t>3级火龙气焰</t>
  </si>
  <si>
    <t>123-156</t>
  </si>
  <si>
    <t>前者数值是从练功师那里统计的，上千次伤害，后者打怪测试，感觉应该是这个数值，而非练功师出的数值，只是157-160这个范围的伤害非常难出现，概率很低</t>
  </si>
  <si>
    <t>123-160</t>
  </si>
  <si>
    <t>虽然数据上显示是有冰冻debuff的灭天火伤害更可以，但在实际运用中，56级前法师魔法一般只有150左右，而56级之前，寒冰掌胜于冰焰术却依旧有着debuff命中率低，且非锁定技能的问题，还必须要火墙搭配使用，加上魔法低，冰冻buff持续时间短，火墙持续时间是固定的短，所以除非看中灭天火的少量无视魔防特效，不然雷电术更吃香，哪怕是3级雷电术。而56级后，经常性群怪，冰焰术是个5*5的范围施加debuff神技，有火龙气焰后，打怪的冰冻debuff更不可缺，所以最终搭配成套的法师技能除去了雷电术和灭天火。</t>
  </si>
  <si>
    <t>个人认为，法师技能的伤害不是由随机算法决定，而是本身自带一个伪随机算法或者服务器的伪波动导致的，比较容易出现某个范围内的伤害数值。最明显的就是火龙气焰这个技能，脱掉装备测试发现，85级自带17-18魔法，所以加上魔法：
155-168这个范围的伤害值出现频率非常高，
或者偶尔持续出现170-173之间伤害数值，
但基本不会出现持续出现140-150这个波段的伤害，多次出现时的概率较接近于区间概率，平时出现概率更低。(不同服务器，出现的伤害区间频率也不一样)</t>
  </si>
  <si>
    <t>1段</t>
  </si>
  <si>
    <t>2段</t>
  </si>
  <si>
    <t>3段</t>
  </si>
  <si>
    <t>最小值</t>
  </si>
  <si>
    <t>最大值</t>
  </si>
  <si>
    <t>平均值</t>
  </si>
  <si>
    <t>55-80</t>
  </si>
  <si>
    <t>81-100</t>
  </si>
  <si>
    <t>101-120</t>
  </si>
  <si>
    <t>121-140</t>
  </si>
  <si>
    <t>141-160</t>
  </si>
  <si>
    <t>161-180</t>
  </si>
  <si>
    <t>181-200</t>
  </si>
  <si>
    <t>200-220</t>
  </si>
  <si>
    <t>60-70</t>
  </si>
  <si>
    <t>71-80</t>
  </si>
  <si>
    <t>81-90</t>
  </si>
  <si>
    <t>91-100</t>
  </si>
  <si>
    <t>101-110</t>
  </si>
  <si>
    <t>111-120</t>
  </si>
  <si>
    <t>140-145</t>
  </si>
  <si>
    <t>146-150</t>
  </si>
  <si>
    <t>151-155</t>
  </si>
  <si>
    <t>156-160</t>
  </si>
  <si>
    <t>161-165</t>
  </si>
  <si>
    <t>166-170</t>
  </si>
  <si>
    <t>171-175</t>
  </si>
  <si>
    <t>以17-18魔法，打寒冰魔王，魔王魔法防御为75</t>
  </si>
  <si>
    <t>火流星</t>
  </si>
  <si>
    <t>基础技能伤害</t>
  </si>
  <si>
    <t>17-18</t>
  </si>
  <si>
    <t>17-47</t>
  </si>
  <si>
    <t>21-26</t>
  </si>
  <si>
    <t>伤害</t>
  </si>
  <si>
    <t>117-118</t>
  </si>
  <si>
    <t>117-147</t>
  </si>
  <si>
    <t>121-126</t>
  </si>
  <si>
    <t>法师不用火流星打寒冰魔王，boss魔防75，负伤害代表不破防，怪没有受到伤害，boss12000血，每秒回10滴血算</t>
  </si>
  <si>
    <t>实际伤害</t>
  </si>
  <si>
    <t>42-43</t>
  </si>
  <si>
    <t>42-72</t>
  </si>
  <si>
    <t>46-51</t>
  </si>
  <si>
    <t>魔法20-50</t>
  </si>
  <si>
    <t>魔法20-60</t>
  </si>
  <si>
    <t>可选技能</t>
  </si>
  <si>
    <t>魔法加成后伤害</t>
  </si>
  <si>
    <t>减去魔防后伤害</t>
  </si>
  <si>
    <t>冰焰术</t>
  </si>
  <si>
    <t>50-179</t>
  </si>
  <si>
    <t>-25-104</t>
  </si>
  <si>
    <t>50-189</t>
  </si>
  <si>
    <t>-25-114</t>
  </si>
  <si>
    <t>217-218</t>
  </si>
  <si>
    <t>217-247</t>
  </si>
  <si>
    <t>65-146</t>
  </si>
  <si>
    <t>-10-71</t>
  </si>
  <si>
    <t>65-156</t>
  </si>
  <si>
    <t>-10-81</t>
  </si>
  <si>
    <t>142-143</t>
  </si>
  <si>
    <t>142-172</t>
  </si>
  <si>
    <t>0幸运0攻速</t>
  </si>
  <si>
    <t>0幸运1攻速</t>
  </si>
  <si>
    <t>雷电术</t>
  </si>
  <si>
    <t>不破防概率</t>
  </si>
  <si>
    <t>破防概率</t>
  </si>
  <si>
    <t>破防平均伤害</t>
  </si>
  <si>
    <t>技能频率</t>
  </si>
  <si>
    <t>每秒净伤害</t>
  </si>
  <si>
    <t>47-219</t>
  </si>
  <si>
    <t>不破防-143</t>
  </si>
  <si>
    <t>灭天火</t>
  </si>
  <si>
    <t>62-114</t>
  </si>
  <si>
    <t>不破防-39</t>
  </si>
  <si>
    <t>1幸运0攻速</t>
  </si>
  <si>
    <t>1幸运1攻速</t>
  </si>
  <si>
    <t>火龙焰气</t>
  </si>
  <si>
    <t>魔防75
减免50</t>
  </si>
  <si>
    <t>140-178</t>
  </si>
  <si>
    <t>115-150</t>
  </si>
  <si>
    <t>65-103</t>
  </si>
  <si>
    <t>以寒冰魔王为例子，发现怪的魔防只是对魔法伤害进行一个固定值的减免，也可以看出火龙焰气技能可能会有无视魔法防御的隐藏属性，而灭天火没有无视魔防防御的特性。</t>
  </si>
  <si>
    <t>巨型多角虫 魔法防御50</t>
  </si>
  <si>
    <t>总结：在前期时，遇到魔法防御较高的怪时，提升魔法能最直观提升输出，幸运对输出的提升也是极为客观的。但是，在前期法师需要一定的防御属性进行保命来确保持续输出（前期乾坤石不好出，应该优先提供洗防御属性），所以优先追求的应该是幸运，更好洗更好出，且不影响防御，特别是0幸运的时候，因为这1点幸运有时可能就是10%以上的伤害提升。攻速也是不错的选择，不过前期可遇不可求，能有最好。
前期因为魔法较低，寒冰掌非锁定技能，且附加的冰冻debuff命中率低，需铺火墙，各种麻烦，所以单独使用灭天火是不可能考虑冰冻debuff加成的。</t>
  </si>
  <si>
    <t>67-68</t>
  </si>
  <si>
    <t>167-168</t>
  </si>
  <si>
    <t>半兽人勇士 魔法防御15</t>
  </si>
  <si>
    <t>战士打沃玛护卫，1000血，20物防，回血可以忽略，测试攻杀作用性</t>
  </si>
  <si>
    <t>等级暂时不定，0攻速，攻杀概率按20%计算</t>
  </si>
  <si>
    <t>102-103</t>
  </si>
  <si>
    <t>攻击5-40</t>
  </si>
  <si>
    <t>1级攻杀</t>
  </si>
  <si>
    <t>2级攻杀</t>
  </si>
  <si>
    <t>202-203</t>
  </si>
  <si>
    <t>3级攻杀</t>
  </si>
  <si>
    <t>攻击5-45</t>
  </si>
  <si>
    <t>魔龙树妖 魔法防御20</t>
  </si>
  <si>
    <t>总结：攻杀的作用还是很明显的，是前期必学技能，而且只要升级就能学到的技能，总比前期获得40或45点攻击更简单更有效。</t>
  </si>
  <si>
    <t>97-98</t>
  </si>
  <si>
    <t>战士打怨恨巨兽，12000血，55物防，回血吸血看为每秒150</t>
  </si>
  <si>
    <t>197-198</t>
  </si>
  <si>
    <t>可选装备</t>
  </si>
  <si>
    <t>普通装备</t>
  </si>
  <si>
    <t>狂雷套 攻击41-165，3运，开血龙4攻速，带麻痹戒指</t>
  </si>
  <si>
    <t>高运装备</t>
  </si>
  <si>
    <t>战神三件+4件狂雷 攻击38-153,6运，开血龙后5攻速，带麻痹戒指</t>
  </si>
  <si>
    <t>魔防20
减免20</t>
  </si>
  <si>
    <t>低速装备</t>
  </si>
  <si>
    <t>2，其中战神戒指换5星狂风戒指</t>
  </si>
  <si>
    <t>高速装备</t>
  </si>
  <si>
    <t>2，其中战神项链换5星狂风项链</t>
  </si>
  <si>
    <t>138-167</t>
  </si>
  <si>
    <t>120-158</t>
  </si>
  <si>
    <t>2+3综合版</t>
  </si>
  <si>
    <t>2，其中麻痹戒指换5星狂风戒指（只要能扛得住）</t>
  </si>
  <si>
    <t>通过以上3种怪的测试，发现的确是技能伤害直接减去魔法防御，得出的值就是实际的伤害。也再次看到火龙焰气是有无伤魔法防御的属性，而且可能会是固定值，而不是百分比，暂时猜测无伤的魔防为20</t>
  </si>
  <si>
    <t>低运高速装备</t>
  </si>
  <si>
    <t>1，麻痹戒指跟项链换5星狂风</t>
  </si>
  <si>
    <t>高攻装备</t>
  </si>
  <si>
    <t>1，麻痹戒指换狂雷戒指（只要能扛得住）</t>
  </si>
  <si>
    <t>魔龙战将 魔法防御100</t>
  </si>
  <si>
    <t>幸运频率</t>
  </si>
  <si>
    <t>暴击几率</t>
  </si>
  <si>
    <t>攻杀实际伤害</t>
  </si>
  <si>
    <t>攻杀伤害</t>
  </si>
  <si>
    <t>开天斩频率</t>
  </si>
  <si>
    <t>开天斩伤害下限</t>
  </si>
  <si>
    <t>开天斩伤害上限</t>
  </si>
  <si>
    <t>魔防100
减免62-70</t>
  </si>
  <si>
    <t>开天斩暴击伤害下限</t>
  </si>
  <si>
    <t>开天斩暴击伤害上限</t>
  </si>
  <si>
    <t>110-140</t>
  </si>
  <si>
    <t>40-78</t>
  </si>
  <si>
    <t>开天伤害</t>
  </si>
  <si>
    <t>烈火概率</t>
  </si>
  <si>
    <t>烈火伤害下限</t>
  </si>
  <si>
    <t>破天教主 魔法防御150</t>
  </si>
  <si>
    <t>烈火伤害上限</t>
  </si>
  <si>
    <t>烈火暴击伤害下限</t>
  </si>
  <si>
    <t>烈火暴击伤害上限</t>
  </si>
  <si>
    <t>不破防</t>
  </si>
  <si>
    <t>烈火伤害</t>
  </si>
  <si>
    <t>炙炎概率</t>
  </si>
  <si>
    <t>炙炎伤害下限</t>
  </si>
  <si>
    <t>炙炎伤害上限</t>
  </si>
  <si>
    <t>炙炎暴击伤害下限</t>
  </si>
  <si>
    <t>炙炎暴击伤害上限</t>
  </si>
  <si>
    <t>魔防150
减免100</t>
  </si>
  <si>
    <t>炙炎伤害</t>
  </si>
  <si>
    <t>普攻概率</t>
  </si>
  <si>
    <t>91-122</t>
  </si>
  <si>
    <t>-10-28</t>
  </si>
  <si>
    <t>普攻伤害下限</t>
  </si>
  <si>
    <t>普攻伤害上限</t>
  </si>
  <si>
    <t>普攻暴击伤害下限</t>
  </si>
  <si>
    <t>守门人 魔法防御50</t>
  </si>
  <si>
    <t>普攻暴击伤害上限</t>
  </si>
  <si>
    <t>普攻伤害</t>
  </si>
  <si>
    <t>每次攻击平均伤害</t>
  </si>
  <si>
    <t>每秒伤害</t>
  </si>
  <si>
    <t>总攻击次数</t>
  </si>
  <si>
    <t>总耗时</t>
  </si>
  <si>
    <t>上面数据很美好，但实际boss狂暴时回血+吸血每秒预计超过200甚至是250，上面几套装备的秒伤都不够，而且boss的攻击有几率石化，这会大大降低输出效率。
从上面也可以大致看出每次攻击伤害略低于攻击力20-30点，加上后续装备主加攻击力上限，幸运的提升，暴击几率和暴击提升，技能伤害加成，大概有50-250左右的攻击就可以勉强打得过巨兽。</t>
  </si>
  <si>
    <t>魔防50
减免33-34</t>
  </si>
  <si>
    <t>124-161</t>
  </si>
  <si>
    <t>90-128</t>
  </si>
  <si>
    <t>总结：火龙焰气应该是无视2/3的魔法防御。</t>
  </si>
  <si>
    <t>战士打沃玛护卫 20物防</t>
  </si>
  <si>
    <t>攻击</t>
  </si>
  <si>
    <t>21-23</t>
  </si>
  <si>
    <t>1-3</t>
  </si>
  <si>
    <t>开天斩伤害</t>
  </si>
  <si>
    <t>42-46</t>
  </si>
  <si>
    <t>魔龙力士 100物防</t>
  </si>
  <si>
    <t>21-61</t>
  </si>
  <si>
    <t>42-120</t>
  </si>
  <si>
    <t>烈火</t>
  </si>
  <si>
    <t>不破防-80</t>
  </si>
  <si>
    <t>炙炎</t>
  </si>
  <si>
    <t>初步总结，实际输出，是先计算各种加成后的伤害，再减去防御后得出的。开天斩有无视物理防御的隐藏属性，暂时预计是无视100点物防！！！！烈火炙炎没有无视物防的属性。</t>
  </si>
  <si>
    <t>破天魔龙 90物防</t>
  </si>
  <si>
    <t>21-98</t>
  </si>
  <si>
    <t>44-196</t>
  </si>
  <si>
    <t>冰龙使 160物防</t>
  </si>
  <si>
    <t>23-130</t>
  </si>
  <si>
    <t>27-148</t>
  </si>
  <si>
    <t>不破防-38</t>
  </si>
  <si>
    <t>不破防-186</t>
  </si>
  <si>
    <t>不破防-84</t>
  </si>
  <si>
    <t>不破防--284</t>
  </si>
  <si>
    <t>不破防-132</t>
  </si>
  <si>
    <t>不破防-284</t>
  </si>
  <si>
    <t>冰龙使测试出来唯一的结果就是boss有160的物防，开天斩可以无伤160点物防。但是可能boss有将攻击转换为回血的概率被动，测试中发现有大量的攻杀，开天斩烈火炙炎攻击都让boss回血了，最低伤害的数据无法得到。
不过开天斩能无伤160的物防，BM中比160物防还高的怪应该没几只了，我们甚至可将其当做无伤物防来看待。</t>
  </si>
  <si>
    <t>武器</t>
  </si>
  <si>
    <t>头盔</t>
  </si>
  <si>
    <t>手镯</t>
  </si>
  <si>
    <t>装备显示词缀名称</t>
  </si>
  <si>
    <t>装备出现的词缀属性</t>
  </si>
  <si>
    <t>部位</t>
  </si>
  <si>
    <t>词缀属性</t>
  </si>
  <si>
    <t>词缀名</t>
  </si>
  <si>
    <t>下限</t>
  </si>
  <si>
    <t>上限</t>
  </si>
  <si>
    <t>等级</t>
  </si>
  <si>
    <r>
      <rPr>
        <sz val="10.5"/>
        <color rgb="FF0000FF"/>
        <rFont val="Times New Roman"/>
        <charset val="134"/>
      </rPr>
      <t>"</t>
    </r>
    <r>
      <rPr>
        <sz val="10.5"/>
        <color rgb="FF0000FF"/>
        <rFont val="宋体"/>
        <charset val="134"/>
      </rPr>
      <t>腐败</t>
    </r>
    <r>
      <rPr>
        <sz val="10.5"/>
        <color rgb="FF0000FF"/>
        <rFont val="Times New Roman"/>
        <charset val="134"/>
      </rPr>
      <t>""</t>
    </r>
    <r>
      <rPr>
        <sz val="10.5"/>
        <color rgb="FF0000FF"/>
        <rFont val="宋体"/>
        <charset val="134"/>
      </rPr>
      <t>腐烂</t>
    </r>
    <r>
      <rPr>
        <sz val="10.5"/>
        <color rgb="FF0000FF"/>
        <rFont val="Times New Roman"/>
        <charset val="134"/>
      </rPr>
      <t>""</t>
    </r>
    <r>
      <rPr>
        <sz val="10.5"/>
        <color rgb="FF0000FF"/>
        <rFont val="宋体"/>
        <charset val="134"/>
      </rPr>
      <t>腐蚀</t>
    </r>
    <r>
      <rPr>
        <sz val="10.5"/>
        <color rgb="FF0000FF"/>
        <rFont val="Times New Roman"/>
        <charset val="134"/>
      </rPr>
      <t>""</t>
    </r>
    <r>
      <rPr>
        <sz val="10.5"/>
        <color rgb="FF0000FF"/>
        <rFont val="宋体"/>
        <charset val="134"/>
      </rPr>
      <t>剧毒</t>
    </r>
    <r>
      <rPr>
        <sz val="10.5"/>
        <color rgb="FF0000FF"/>
        <rFont val="Times New Roman"/>
        <charset val="134"/>
      </rPr>
      <t>""</t>
    </r>
    <r>
      <rPr>
        <sz val="10.5"/>
        <color rgb="FF0000FF"/>
        <rFont val="宋体"/>
        <charset val="134"/>
      </rPr>
      <t>瘟疫</t>
    </r>
    <r>
      <rPr>
        <sz val="10.5"/>
        <color rgb="FF0000FF"/>
        <rFont val="Times New Roman"/>
        <charset val="134"/>
      </rPr>
      <t>"</t>
    </r>
  </si>
  <si>
    <r>
      <rPr>
        <sz val="10.5"/>
        <color rgb="FF0000FF"/>
        <rFont val="Times New Roman"/>
        <charset val="134"/>
      </rPr>
      <t>"</t>
    </r>
    <r>
      <rPr>
        <sz val="10.5"/>
        <color rgb="FF0000FF"/>
        <rFont val="宋体"/>
        <charset val="134"/>
      </rPr>
      <t>一定几率产生</t>
    </r>
    <r>
      <rPr>
        <sz val="10.5"/>
        <color rgb="FF0000FF"/>
        <rFont val="Times New Roman"/>
        <charset val="134"/>
      </rPr>
      <t>-</t>
    </r>
    <r>
      <rPr>
        <sz val="10.5"/>
        <color rgb="FF0000FF"/>
        <rFont val="宋体"/>
        <charset val="134"/>
      </rPr>
      <t>点毒素伤害，持续秒</t>
    </r>
    <r>
      <rPr>
        <sz val="10.5"/>
        <color rgb="FF0000FF"/>
        <rFont val="Times New Roman"/>
        <charset val="134"/>
      </rPr>
      <t>"</t>
    </r>
  </si>
  <si>
    <t>普攻伤害增加</t>
  </si>
  <si>
    <t>伤害增加</t>
  </si>
  <si>
    <t>锯齿</t>
  </si>
  <si>
    <t>2-3</t>
  </si>
  <si>
    <t>魔法掉落</t>
  </si>
  <si>
    <t>得体</t>
  </si>
  <si>
    <t>水系</t>
  </si>
  <si>
    <t>寒冷</t>
  </si>
  <si>
    <t>1-5</t>
  </si>
  <si>
    <t>5-9</t>
  </si>
  <si>
    <r>
      <rPr>
        <sz val="10.5"/>
        <color rgb="FF0000FF"/>
        <rFont val="Times New Roman"/>
        <charset val="134"/>
      </rPr>
      <t>"</t>
    </r>
    <r>
      <rPr>
        <sz val="10.5"/>
        <color rgb="FF0000FF"/>
        <rFont val="宋体"/>
        <charset val="134"/>
      </rPr>
      <t>锯齿</t>
    </r>
    <r>
      <rPr>
        <sz val="10.5"/>
        <color rgb="FF0000FF"/>
        <rFont val="Times New Roman"/>
        <charset val="134"/>
      </rPr>
      <t>""</t>
    </r>
    <r>
      <rPr>
        <sz val="10.5"/>
        <color rgb="FF0000FF"/>
        <rFont val="宋体"/>
        <charset val="134"/>
      </rPr>
      <t>致命</t>
    </r>
    <r>
      <rPr>
        <sz val="10.5"/>
        <color rgb="FF0000FF"/>
        <rFont val="Times New Roman"/>
        <charset val="134"/>
      </rPr>
      <t>""</t>
    </r>
    <r>
      <rPr>
        <sz val="10.5"/>
        <color rgb="FF0000FF"/>
        <rFont val="宋体"/>
        <charset val="134"/>
      </rPr>
      <t>恶毒</t>
    </r>
    <r>
      <rPr>
        <sz val="10.5"/>
        <color rgb="FF0000FF"/>
        <rFont val="Times New Roman"/>
        <charset val="134"/>
      </rPr>
      <t>""</t>
    </r>
    <r>
      <rPr>
        <sz val="10.5"/>
        <color rgb="FF0000FF"/>
        <rFont val="宋体"/>
        <charset val="134"/>
      </rPr>
      <t>残酷</t>
    </r>
    <r>
      <rPr>
        <sz val="10.5"/>
        <color rgb="FF0000FF"/>
        <rFont val="Times New Roman"/>
        <charset val="134"/>
      </rPr>
      <t>""</t>
    </r>
    <r>
      <rPr>
        <sz val="10.5"/>
        <color rgb="FF0000FF"/>
        <rFont val="宋体"/>
        <charset val="134"/>
      </rPr>
      <t>稳重</t>
    </r>
    <r>
      <rPr>
        <sz val="10.5"/>
        <color rgb="FF0000FF"/>
        <rFont val="Times New Roman"/>
        <charset val="134"/>
      </rPr>
      <t>""</t>
    </r>
    <r>
      <rPr>
        <sz val="10.5"/>
        <color rgb="FF0000FF"/>
        <rFont val="宋体"/>
        <charset val="134"/>
      </rPr>
      <t>野蛮</t>
    </r>
    <r>
      <rPr>
        <sz val="10.5"/>
        <color rgb="FF0000FF"/>
        <rFont val="Times New Roman"/>
        <charset val="134"/>
      </rPr>
      <t>""</t>
    </r>
    <r>
      <rPr>
        <sz val="10.5"/>
        <color rgb="FF0000FF"/>
        <rFont val="宋体"/>
        <charset val="134"/>
      </rPr>
      <t>绝情</t>
    </r>
    <r>
      <rPr>
        <sz val="10.5"/>
        <color rgb="FF0000FF"/>
        <rFont val="Times New Roman"/>
        <charset val="134"/>
      </rPr>
      <t>""</t>
    </r>
    <r>
      <rPr>
        <sz val="10.5"/>
        <color rgb="FF0000FF"/>
        <rFont val="宋体"/>
        <charset val="134"/>
      </rPr>
      <t>凶暴</t>
    </r>
    <r>
      <rPr>
        <sz val="10.5"/>
        <color rgb="FF0000FF"/>
        <rFont val="Times New Roman"/>
        <charset val="134"/>
      </rPr>
      <t>""</t>
    </r>
    <r>
      <rPr>
        <sz val="10.5"/>
        <color rgb="FF0000FF"/>
        <rFont val="宋体"/>
        <charset val="134"/>
      </rPr>
      <t>残忍</t>
    </r>
    <r>
      <rPr>
        <sz val="10.5"/>
        <color rgb="FF0000FF"/>
        <rFont val="Times New Roman"/>
        <charset val="134"/>
      </rPr>
      <t>"</t>
    </r>
  </si>
  <si>
    <r>
      <rPr>
        <sz val="10.5"/>
        <color rgb="FF0000FF"/>
        <rFont val="Times New Roman"/>
        <charset val="134"/>
      </rPr>
      <t>"</t>
    </r>
    <r>
      <rPr>
        <sz val="10.5"/>
        <color rgb="FF0000FF"/>
        <rFont val="宋体"/>
        <charset val="134"/>
      </rPr>
      <t>普攻伤害增加</t>
    </r>
    <r>
      <rPr>
        <sz val="10.5"/>
        <color rgb="FF0000FF"/>
        <rFont val="Times New Roman"/>
        <charset val="134"/>
      </rPr>
      <t>"</t>
    </r>
  </si>
  <si>
    <t>伤害恢复至法力</t>
  </si>
  <si>
    <t>致命</t>
  </si>
  <si>
    <t>3-4</t>
  </si>
  <si>
    <t>5-6</t>
  </si>
  <si>
    <t>偶然</t>
  </si>
  <si>
    <t>冷冻</t>
  </si>
  <si>
    <t>10-14</t>
  </si>
  <si>
    <r>
      <rPr>
        <sz val="10.5"/>
        <color rgb="FF0000FF"/>
        <rFont val="Times New Roman"/>
        <charset val="134"/>
      </rPr>
      <t>"</t>
    </r>
    <r>
      <rPr>
        <sz val="10.5"/>
        <color rgb="FF0000FF"/>
        <rFont val="宋体"/>
        <charset val="134"/>
      </rPr>
      <t>魔法攻击伤害增加</t>
    </r>
    <r>
      <rPr>
        <sz val="10.5"/>
        <color rgb="FF0000FF"/>
        <rFont val="Times New Roman"/>
        <charset val="134"/>
      </rPr>
      <t>"</t>
    </r>
  </si>
  <si>
    <t>杀死怪物后取得法力</t>
  </si>
  <si>
    <t>恶毒</t>
  </si>
  <si>
    <t>生命自然回复</t>
  </si>
  <si>
    <t>自愈</t>
  </si>
  <si>
    <t>冰河</t>
  </si>
  <si>
    <t>11-14</t>
  </si>
  <si>
    <t>16-19</t>
  </si>
  <si>
    <r>
      <rPr>
        <sz val="10.5"/>
        <color rgb="FF0000FF"/>
        <rFont val="Times New Roman"/>
        <charset val="134"/>
      </rPr>
      <t>"</t>
    </r>
    <r>
      <rPr>
        <sz val="10.5"/>
        <color rgb="FF0000FF"/>
        <rFont val="宋体"/>
        <charset val="134"/>
      </rPr>
      <t>精神力攻击伤害增加</t>
    </r>
    <r>
      <rPr>
        <sz val="10.5"/>
        <color rgb="FF0000FF"/>
        <rFont val="Times New Roman"/>
        <charset val="134"/>
      </rPr>
      <t>"</t>
    </r>
  </si>
  <si>
    <t>攻击速度增加</t>
  </si>
  <si>
    <t>残酷</t>
  </si>
  <si>
    <t>7-9</t>
  </si>
  <si>
    <t>10-11</t>
  </si>
  <si>
    <t>生气</t>
  </si>
  <si>
    <t>15</t>
  </si>
  <si>
    <t>30</t>
  </si>
  <si>
    <t>火系</t>
  </si>
  <si>
    <t>温暖</t>
  </si>
  <si>
    <r>
      <rPr>
        <sz val="10.5"/>
        <color rgb="FF0000FF"/>
        <rFont val="Times New Roman"/>
        <charset val="134"/>
      </rPr>
      <t>"</t>
    </r>
    <r>
      <rPr>
        <sz val="10.5"/>
        <color rgb="FF0000FF"/>
        <rFont val="宋体"/>
        <charset val="134"/>
      </rPr>
      <t>结实</t>
    </r>
    <r>
      <rPr>
        <sz val="10.5"/>
        <color rgb="FF0000FF"/>
        <rFont val="Times New Roman"/>
        <charset val="134"/>
      </rPr>
      <t>""</t>
    </r>
    <r>
      <rPr>
        <sz val="10.5"/>
        <color rgb="FF0000FF"/>
        <rFont val="宋体"/>
        <charset val="134"/>
      </rPr>
      <t>强壮</t>
    </r>
    <r>
      <rPr>
        <sz val="10.5"/>
        <color rgb="FF0000FF"/>
        <rFont val="Times New Roman"/>
        <charset val="134"/>
      </rPr>
      <t>""</t>
    </r>
    <r>
      <rPr>
        <sz val="10.5"/>
        <color rgb="FF0000FF"/>
        <rFont val="宋体"/>
        <charset val="134"/>
      </rPr>
      <t>光荣</t>
    </r>
    <r>
      <rPr>
        <sz val="10.5"/>
        <color rgb="FF0000FF"/>
        <rFont val="Times New Roman"/>
        <charset val="134"/>
      </rPr>
      <t>""</t>
    </r>
    <r>
      <rPr>
        <sz val="10.5"/>
        <color rgb="FF0000FF"/>
        <rFont val="宋体"/>
        <charset val="134"/>
      </rPr>
      <t>祝福</t>
    </r>
    <r>
      <rPr>
        <sz val="10.5"/>
        <color rgb="FF0000FF"/>
        <rFont val="Times New Roman"/>
        <charset val="134"/>
      </rPr>
      <t>""</t>
    </r>
    <r>
      <rPr>
        <sz val="10.5"/>
        <color rgb="FF0000FF"/>
        <rFont val="宋体"/>
        <charset val="134"/>
      </rPr>
      <t>崇高</t>
    </r>
    <r>
      <rPr>
        <sz val="10.5"/>
        <color rgb="FF0000FF"/>
        <rFont val="Times New Roman"/>
        <charset val="134"/>
      </rPr>
      <t>""</t>
    </r>
    <r>
      <rPr>
        <sz val="10.5"/>
        <color rgb="FF0000FF"/>
        <rFont val="宋体"/>
        <charset val="134"/>
      </rPr>
      <t>神圣</t>
    </r>
    <r>
      <rPr>
        <sz val="10.5"/>
        <color rgb="FF0000FF"/>
        <rFont val="Times New Roman"/>
        <charset val="134"/>
      </rPr>
      <t>""</t>
    </r>
    <r>
      <rPr>
        <sz val="10.5"/>
        <color rgb="FF0000FF"/>
        <rFont val="宋体"/>
        <charset val="134"/>
      </rPr>
      <t>神</t>
    </r>
    <r>
      <rPr>
        <sz val="10.5"/>
        <color rgb="FF0000FF"/>
        <rFont val="Times New Roman"/>
        <charset val="134"/>
      </rPr>
      <t>"</t>
    </r>
  </si>
  <si>
    <r>
      <rPr>
        <sz val="10.5"/>
        <color rgb="FF0000FF"/>
        <rFont val="Times New Roman"/>
        <charset val="134"/>
      </rPr>
      <t>"</t>
    </r>
    <r>
      <rPr>
        <sz val="10.5"/>
        <color rgb="FF0000FF"/>
        <rFont val="宋体"/>
        <charset val="134"/>
      </rPr>
      <t>防御强化增加</t>
    </r>
    <r>
      <rPr>
        <sz val="10.5"/>
        <color rgb="FF0000FF"/>
        <rFont val="Times New Roman"/>
        <charset val="134"/>
      </rPr>
      <t>"</t>
    </r>
  </si>
  <si>
    <t>魔法攻击伤害增加</t>
  </si>
  <si>
    <t>稳重</t>
  </si>
  <si>
    <t>9-11</t>
  </si>
  <si>
    <t>11-13</t>
  </si>
  <si>
    <t>充沛</t>
  </si>
  <si>
    <t>20</t>
  </si>
  <si>
    <t>炎热</t>
  </si>
  <si>
    <r>
      <rPr>
        <sz val="10.5"/>
        <color rgb="FF0000FF"/>
        <rFont val="Times New Roman"/>
        <charset val="134"/>
      </rPr>
      <t>"</t>
    </r>
    <r>
      <rPr>
        <sz val="10.5"/>
        <color rgb="FF0000FF"/>
        <rFont val="宋体"/>
        <charset val="134"/>
      </rPr>
      <t>寒冷</t>
    </r>
    <r>
      <rPr>
        <sz val="10.5"/>
        <color rgb="FF0000FF"/>
        <rFont val="Times New Roman"/>
        <charset val="134"/>
      </rPr>
      <t>""</t>
    </r>
    <r>
      <rPr>
        <sz val="10.5"/>
        <color rgb="FF0000FF"/>
        <rFont val="宋体"/>
        <charset val="134"/>
      </rPr>
      <t>冷冻</t>
    </r>
    <r>
      <rPr>
        <sz val="10.5"/>
        <color rgb="FF0000FF"/>
        <rFont val="Times New Roman"/>
        <charset val="134"/>
      </rPr>
      <t>""</t>
    </r>
    <r>
      <rPr>
        <sz val="10.5"/>
        <color rgb="FF0000FF"/>
        <rFont val="宋体"/>
        <charset val="134"/>
      </rPr>
      <t>冰河</t>
    </r>
    <r>
      <rPr>
        <sz val="10.5"/>
        <color rgb="FF0000FF"/>
        <rFont val="Times New Roman"/>
        <charset val="134"/>
      </rPr>
      <t>"</t>
    </r>
  </si>
  <si>
    <r>
      <rPr>
        <sz val="10.5"/>
        <color rgb="FF0000FF"/>
        <rFont val="Times New Roman"/>
        <charset val="134"/>
      </rPr>
      <t>"</t>
    </r>
    <r>
      <rPr>
        <sz val="10.5"/>
        <color rgb="FF0000FF"/>
        <rFont val="宋体"/>
        <charset val="134"/>
      </rPr>
      <t>水系技能等级增加</t>
    </r>
    <r>
      <rPr>
        <sz val="10.5"/>
        <color rgb="FF0000FF"/>
        <rFont val="Times New Roman"/>
        <charset val="134"/>
      </rPr>
      <t>"</t>
    </r>
  </si>
  <si>
    <t>精神力攻击伤害增加</t>
  </si>
  <si>
    <t>野蛮</t>
  </si>
  <si>
    <t>9-12</t>
  </si>
  <si>
    <t>13-15</t>
  </si>
  <si>
    <t>物防增加</t>
  </si>
  <si>
    <t>结实</t>
  </si>
  <si>
    <t>1-2</t>
  </si>
  <si>
    <t>炙热</t>
  </si>
  <si>
    <r>
      <rPr>
        <sz val="10.5"/>
        <color rgb="FF0000FF"/>
        <rFont val="Times New Roman"/>
        <charset val="134"/>
      </rPr>
      <t>"</t>
    </r>
    <r>
      <rPr>
        <sz val="10.5"/>
        <color rgb="FF0000FF"/>
        <rFont val="宋体"/>
        <charset val="134"/>
      </rPr>
      <t>冰咆哮技能等级增加</t>
    </r>
    <r>
      <rPr>
        <sz val="10.5"/>
        <color rgb="FF0000FF"/>
        <rFont val="Times New Roman"/>
        <charset val="134"/>
      </rPr>
      <t>"</t>
    </r>
  </si>
  <si>
    <t>衣服</t>
  </si>
  <si>
    <t>防御强化增加</t>
  </si>
  <si>
    <t>绝情</t>
  </si>
  <si>
    <t>9-14</t>
  </si>
  <si>
    <t>14-17</t>
  </si>
  <si>
    <t>强壮</t>
  </si>
  <si>
    <t>4-5</t>
  </si>
  <si>
    <t>雷系</t>
  </si>
  <si>
    <t>电光</t>
  </si>
  <si>
    <r>
      <rPr>
        <sz val="10.5"/>
        <color rgb="FF0000FF"/>
        <rFont val="Times New Roman"/>
        <charset val="134"/>
      </rPr>
      <t>"</t>
    </r>
    <r>
      <rPr>
        <sz val="10.5"/>
        <color rgb="FF0000FF"/>
        <rFont val="宋体"/>
        <charset val="134"/>
      </rPr>
      <t>寒冰掌技能等级增加</t>
    </r>
    <r>
      <rPr>
        <sz val="10.5"/>
        <color rgb="FF0000FF"/>
        <rFont val="Times New Roman"/>
        <charset val="134"/>
      </rPr>
      <t>"</t>
    </r>
  </si>
  <si>
    <t>中毒恢复增加</t>
  </si>
  <si>
    <t>凶暴</t>
  </si>
  <si>
    <t>15-19</t>
  </si>
  <si>
    <t>光荣</t>
  </si>
  <si>
    <t>刺目</t>
  </si>
  <si>
    <r>
      <rPr>
        <sz val="10.5"/>
        <color rgb="FF0000FF"/>
        <rFont val="Times New Roman"/>
        <charset val="134"/>
      </rPr>
      <t>"</t>
    </r>
    <r>
      <rPr>
        <sz val="10.5"/>
        <color rgb="FF0000FF"/>
        <rFont val="宋体"/>
        <charset val="134"/>
      </rPr>
      <t>冰焰术技能等级增加</t>
    </r>
    <r>
      <rPr>
        <sz val="10.5"/>
        <color rgb="FF0000FF"/>
        <rFont val="Times New Roman"/>
        <charset val="134"/>
      </rPr>
      <t>"</t>
    </r>
  </si>
  <si>
    <t>石化恢复增加</t>
  </si>
  <si>
    <t>残忍</t>
  </si>
  <si>
    <t>11-15</t>
  </si>
  <si>
    <t>17-21</t>
  </si>
  <si>
    <t>生命增加</t>
  </si>
  <si>
    <t>精力</t>
  </si>
  <si>
    <t>巨雷</t>
  </si>
  <si>
    <r>
      <rPr>
        <sz val="10.5"/>
        <color rgb="FF0000FF"/>
        <rFont val="Times New Roman"/>
        <charset val="134"/>
      </rPr>
      <t>"</t>
    </r>
    <r>
      <rPr>
        <sz val="10.5"/>
        <color rgb="FF0000FF"/>
        <rFont val="宋体"/>
        <charset val="134"/>
      </rPr>
      <t>奸诈</t>
    </r>
    <r>
      <rPr>
        <sz val="10.5"/>
        <color rgb="FF0000FF"/>
        <rFont val="Times New Roman"/>
        <charset val="134"/>
      </rPr>
      <t>"</t>
    </r>
  </si>
  <si>
    <r>
      <rPr>
        <sz val="10.5"/>
        <color rgb="FF0000FF"/>
        <rFont val="Times New Roman"/>
        <charset val="134"/>
      </rPr>
      <t>"</t>
    </r>
    <r>
      <rPr>
        <sz val="10.5"/>
        <color rgb="FF0000FF"/>
        <rFont val="宋体"/>
        <charset val="134"/>
      </rPr>
      <t>伤害恢复至法力</t>
    </r>
    <r>
      <rPr>
        <sz val="10.5"/>
        <color rgb="FF0000FF"/>
        <rFont val="Times New Roman"/>
        <charset val="134"/>
      </rPr>
      <t>"</t>
    </r>
  </si>
  <si>
    <t>冷冻恢复增加</t>
  </si>
  <si>
    <t>杀死怪物回蓝</t>
  </si>
  <si>
    <t>成功</t>
  </si>
  <si>
    <t>生命</t>
  </si>
  <si>
    <t>25</t>
  </si>
  <si>
    <t>40</t>
  </si>
  <si>
    <t>暗系</t>
  </si>
  <si>
    <t>阴霾</t>
  </si>
  <si>
    <r>
      <rPr>
        <sz val="10.5"/>
        <color rgb="FF0000FF"/>
        <rFont val="Times New Roman"/>
        <charset val="134"/>
      </rPr>
      <t>"</t>
    </r>
    <r>
      <rPr>
        <sz val="10.5"/>
        <color rgb="FF0000FF"/>
        <rFont val="宋体"/>
        <charset val="134"/>
      </rPr>
      <t>成功</t>
    </r>
    <r>
      <rPr>
        <sz val="10.5"/>
        <color rgb="FF0000FF"/>
        <rFont val="Times New Roman"/>
        <charset val="134"/>
      </rPr>
      <t>""</t>
    </r>
    <r>
      <rPr>
        <sz val="10.5"/>
        <color rgb="FF0000FF"/>
        <rFont val="宋体"/>
        <charset val="134"/>
      </rPr>
      <t>优胜</t>
    </r>
    <r>
      <rPr>
        <sz val="10.5"/>
        <color rgb="FF0000FF"/>
        <rFont val="Times New Roman"/>
        <charset val="134"/>
      </rPr>
      <t>"</t>
    </r>
  </si>
  <si>
    <r>
      <rPr>
        <sz val="10.5"/>
        <color rgb="FF0000FF"/>
        <rFont val="Times New Roman"/>
        <charset val="134"/>
      </rPr>
      <t>"</t>
    </r>
    <r>
      <rPr>
        <sz val="10.5"/>
        <color rgb="FF0000FF"/>
        <rFont val="宋体"/>
        <charset val="134"/>
      </rPr>
      <t>杀死怪物后取得</t>
    </r>
    <r>
      <rPr>
        <sz val="10.5"/>
        <color rgb="FF0000FF"/>
        <rFont val="Times New Roman"/>
        <charset val="134"/>
      </rPr>
      <t>-</t>
    </r>
    <r>
      <rPr>
        <sz val="10.5"/>
        <color rgb="FF0000FF"/>
        <rFont val="宋体"/>
        <charset val="134"/>
      </rPr>
      <t>点法力</t>
    </r>
    <r>
      <rPr>
        <sz val="10.5"/>
        <color rgb="FF0000FF"/>
        <rFont val="Times New Roman"/>
        <charset val="134"/>
      </rPr>
      <t>"</t>
    </r>
  </si>
  <si>
    <t>最大生命值增加</t>
  </si>
  <si>
    <t>优胜</t>
  </si>
  <si>
    <t>3-7</t>
  </si>
  <si>
    <t>7-10</t>
  </si>
  <si>
    <t>活力</t>
  </si>
  <si>
    <t>阴暗</t>
  </si>
  <si>
    <r>
      <rPr>
        <sz val="10.5"/>
        <color rgb="FF0000FF"/>
        <rFont val="Times New Roman"/>
        <charset val="134"/>
      </rPr>
      <t>"</t>
    </r>
    <r>
      <rPr>
        <sz val="10.5"/>
        <color rgb="FF0000FF"/>
        <rFont val="宋体"/>
        <charset val="134"/>
      </rPr>
      <t>温暖</t>
    </r>
    <r>
      <rPr>
        <sz val="10.5"/>
        <color rgb="FF0000FF"/>
        <rFont val="Times New Roman"/>
        <charset val="134"/>
      </rPr>
      <t>""</t>
    </r>
    <r>
      <rPr>
        <sz val="10.5"/>
        <color rgb="FF0000FF"/>
        <rFont val="宋体"/>
        <charset val="134"/>
      </rPr>
      <t>炎热</t>
    </r>
    <r>
      <rPr>
        <sz val="10.5"/>
        <color rgb="FF0000FF"/>
        <rFont val="Times New Roman"/>
        <charset val="134"/>
      </rPr>
      <t>""</t>
    </r>
    <r>
      <rPr>
        <sz val="10.5"/>
        <color rgb="FF0000FF"/>
        <rFont val="宋体"/>
        <charset val="134"/>
      </rPr>
      <t>炙热</t>
    </r>
    <r>
      <rPr>
        <sz val="10.5"/>
        <color rgb="FF0000FF"/>
        <rFont val="Times New Roman"/>
        <charset val="134"/>
      </rPr>
      <t>"</t>
    </r>
  </si>
  <si>
    <r>
      <rPr>
        <sz val="10.5"/>
        <color rgb="FF0000FF"/>
        <rFont val="Times New Roman"/>
        <charset val="134"/>
      </rPr>
      <t>"</t>
    </r>
    <r>
      <rPr>
        <sz val="10.5"/>
        <color rgb="FF0000FF"/>
        <rFont val="宋体"/>
        <charset val="134"/>
      </rPr>
      <t>火系技能等级增加</t>
    </r>
    <r>
      <rPr>
        <sz val="10.5"/>
        <color rgb="FF0000FF"/>
        <rFont val="Times New Roman"/>
        <charset val="134"/>
      </rPr>
      <t>"</t>
    </r>
  </si>
  <si>
    <t>生命恢复速度增加</t>
  </si>
  <si>
    <t>受到伤害回蓝</t>
  </si>
  <si>
    <t>奸诈</t>
  </si>
  <si>
    <t>12</t>
  </si>
  <si>
    <t>阴森</t>
  </si>
  <si>
    <r>
      <rPr>
        <sz val="10.5"/>
        <color rgb="FF0000FF"/>
        <rFont val="Times New Roman"/>
        <charset val="134"/>
      </rPr>
      <t>"</t>
    </r>
    <r>
      <rPr>
        <sz val="10.5"/>
        <color rgb="FF0000FF"/>
        <rFont val="宋体"/>
        <charset val="134"/>
      </rPr>
      <t>烈火剑法技能等级增加</t>
    </r>
    <r>
      <rPr>
        <sz val="10.5"/>
        <color rgb="FF0000FF"/>
        <rFont val="Times New Roman"/>
        <charset val="134"/>
      </rPr>
      <t>"</t>
    </r>
  </si>
  <si>
    <t>快速打击恢复</t>
  </si>
  <si>
    <t>贪婪</t>
  </si>
  <si>
    <t>应该是奸诈的进阶词缀</t>
  </si>
  <si>
    <t>圣系</t>
  </si>
  <si>
    <t>光亮</t>
  </si>
  <si>
    <t>有错误词缀bug</t>
  </si>
  <si>
    <r>
      <rPr>
        <sz val="10.5"/>
        <color rgb="FF0000FF"/>
        <rFont val="Times New Roman"/>
        <charset val="134"/>
      </rPr>
      <t>"</t>
    </r>
    <r>
      <rPr>
        <sz val="10.5"/>
        <color rgb="FF0000FF"/>
        <rFont val="宋体"/>
        <charset val="134"/>
      </rPr>
      <t>炙炎剑法技能等级增加</t>
    </r>
    <r>
      <rPr>
        <sz val="10.5"/>
        <color rgb="FF0000FF"/>
        <rFont val="Times New Roman"/>
        <charset val="134"/>
      </rPr>
      <t>"</t>
    </r>
  </si>
  <si>
    <t>一定几率物理伤害吸收</t>
  </si>
  <si>
    <t>轻盈</t>
  </si>
  <si>
    <t>闪耀</t>
  </si>
  <si>
    <r>
      <rPr>
        <sz val="10.5"/>
        <color rgb="FF0000FF"/>
        <rFont val="Times New Roman"/>
        <charset val="134"/>
      </rPr>
      <t>"</t>
    </r>
    <r>
      <rPr>
        <sz val="10.5"/>
        <color rgb="FF0000FF"/>
        <rFont val="宋体"/>
        <charset val="134"/>
      </rPr>
      <t>火球术技能等级增加</t>
    </r>
    <r>
      <rPr>
        <sz val="10.5"/>
        <color rgb="FF0000FF"/>
        <rFont val="Times New Roman"/>
        <charset val="134"/>
      </rPr>
      <t>"</t>
    </r>
  </si>
  <si>
    <t>一定几率魔法伤害吸收</t>
  </si>
  <si>
    <t>轻舞</t>
  </si>
  <si>
    <t>光辉</t>
  </si>
  <si>
    <r>
      <rPr>
        <sz val="10.5"/>
        <color rgb="FF0000FF"/>
        <rFont val="Times New Roman"/>
        <charset val="134"/>
      </rPr>
      <t>"</t>
    </r>
    <r>
      <rPr>
        <sz val="10.5"/>
        <color rgb="FF0000FF"/>
        <rFont val="宋体"/>
        <charset val="134"/>
      </rPr>
      <t>大火球技能等级增加</t>
    </r>
    <r>
      <rPr>
        <sz val="10.5"/>
        <color rgb="FF0000FF"/>
        <rFont val="Times New Roman"/>
        <charset val="134"/>
      </rPr>
      <t>"</t>
    </r>
  </si>
  <si>
    <t>项链</t>
  </si>
  <si>
    <t>一定几率产生毒素伤害</t>
  </si>
  <si>
    <t>飞扬</t>
  </si>
  <si>
    <t>召唤</t>
  </si>
  <si>
    <t>忠实</t>
  </si>
  <si>
    <r>
      <rPr>
        <sz val="10.5"/>
        <color rgb="FF0000FF"/>
        <rFont val="Times New Roman"/>
        <charset val="134"/>
      </rPr>
      <t>"</t>
    </r>
    <r>
      <rPr>
        <sz val="10.5"/>
        <color rgb="FF0000FF"/>
        <rFont val="宋体"/>
        <charset val="134"/>
      </rPr>
      <t>爆裂火焰技能等级增加</t>
    </r>
    <r>
      <rPr>
        <sz val="10.5"/>
        <color rgb="FF0000FF"/>
        <rFont val="Times New Roman"/>
        <charset val="134"/>
      </rPr>
      <t>"</t>
    </r>
  </si>
  <si>
    <t>受伤害恢复至法力</t>
  </si>
  <si>
    <t>忠诚</t>
  </si>
  <si>
    <r>
      <rPr>
        <sz val="10.5"/>
        <color rgb="FF0000FF"/>
        <rFont val="Times New Roman"/>
        <charset val="134"/>
      </rPr>
      <t>"</t>
    </r>
    <r>
      <rPr>
        <sz val="10.5"/>
        <color rgb="FF0000FF"/>
        <rFont val="宋体"/>
        <charset val="134"/>
      </rPr>
      <t>火墙技能等级增加</t>
    </r>
    <r>
      <rPr>
        <sz val="10.5"/>
        <color rgb="FF0000FF"/>
        <rFont val="Times New Roman"/>
        <charset val="134"/>
      </rPr>
      <t>"</t>
    </r>
  </si>
  <si>
    <t>一定几率窃取攻击伤害至生命</t>
  </si>
  <si>
    <t>伙伴</t>
  </si>
  <si>
    <r>
      <rPr>
        <sz val="10.5"/>
        <color rgb="FF0000FF"/>
        <rFont val="Times New Roman"/>
        <charset val="134"/>
      </rPr>
      <t>"</t>
    </r>
    <r>
      <rPr>
        <sz val="10.5"/>
        <color rgb="FF0000FF"/>
        <rFont val="宋体"/>
        <charset val="134"/>
      </rPr>
      <t>灭天火技能等级增加</t>
    </r>
    <r>
      <rPr>
        <sz val="10.5"/>
        <color rgb="FF0000FF"/>
        <rFont val="Times New Roman"/>
        <charset val="134"/>
      </rPr>
      <t>"</t>
    </r>
  </si>
  <si>
    <t>幸运增加</t>
  </si>
  <si>
    <t>几率中毒</t>
  </si>
  <si>
    <t>腐败</t>
  </si>
  <si>
    <r>
      <rPr>
        <sz val="10.5"/>
        <color rgb="FF0000FF"/>
        <rFont val="Times New Roman"/>
        <charset val="134"/>
      </rPr>
      <t>"</t>
    </r>
    <r>
      <rPr>
        <sz val="10.5"/>
        <color rgb="FF0000FF"/>
        <rFont val="宋体"/>
        <charset val="134"/>
      </rPr>
      <t>火流星技能等级增加</t>
    </r>
    <r>
      <rPr>
        <sz val="10.5"/>
        <color rgb="FF0000FF"/>
        <rFont val="Times New Roman"/>
        <charset val="134"/>
      </rPr>
      <t>"</t>
    </r>
  </si>
  <si>
    <t>魔法躲避增加</t>
  </si>
  <si>
    <t>2-4</t>
  </si>
  <si>
    <t>腐烂</t>
  </si>
  <si>
    <t>戒指</t>
  </si>
  <si>
    <r>
      <rPr>
        <sz val="10.5"/>
        <color rgb="FF0000FF"/>
        <rFont val="Times New Roman"/>
        <charset val="134"/>
      </rPr>
      <t>"</t>
    </r>
    <r>
      <rPr>
        <sz val="10.5"/>
        <color rgb="FF0000FF"/>
        <rFont val="宋体"/>
        <charset val="134"/>
      </rPr>
      <t>火龙气焰技能等级增加</t>
    </r>
    <r>
      <rPr>
        <sz val="10.5"/>
        <color rgb="FF0000FF"/>
        <rFont val="Times New Roman"/>
        <charset val="134"/>
      </rPr>
      <t>"</t>
    </r>
  </si>
  <si>
    <t>照亮范围增加</t>
  </si>
  <si>
    <t>腐蚀</t>
  </si>
  <si>
    <r>
      <rPr>
        <sz val="10.5"/>
        <color rgb="FF0000FF"/>
        <rFont val="Times New Roman"/>
        <charset val="134"/>
      </rPr>
      <t>"</t>
    </r>
    <r>
      <rPr>
        <sz val="10.5"/>
        <color rgb="FF0000FF"/>
        <rFont val="宋体"/>
        <charset val="134"/>
      </rPr>
      <t>电光</t>
    </r>
    <r>
      <rPr>
        <sz val="10.5"/>
        <color rgb="FF0000FF"/>
        <rFont val="Times New Roman"/>
        <charset val="134"/>
      </rPr>
      <t>""</t>
    </r>
    <r>
      <rPr>
        <sz val="10.5"/>
        <color rgb="FF0000FF"/>
        <rFont val="宋体"/>
        <charset val="134"/>
      </rPr>
      <t>刺目</t>
    </r>
    <r>
      <rPr>
        <sz val="10.5"/>
        <color rgb="FF0000FF"/>
        <rFont val="Times New Roman"/>
        <charset val="134"/>
      </rPr>
      <t>""</t>
    </r>
    <r>
      <rPr>
        <sz val="10.5"/>
        <color rgb="FF0000FF"/>
        <rFont val="宋体"/>
        <charset val="134"/>
      </rPr>
      <t>巨雷</t>
    </r>
    <r>
      <rPr>
        <sz val="10.5"/>
        <color rgb="FF0000FF"/>
        <rFont val="Times New Roman"/>
        <charset val="134"/>
      </rPr>
      <t>"</t>
    </r>
  </si>
  <si>
    <r>
      <rPr>
        <sz val="10.5"/>
        <color rgb="FF0000FF"/>
        <rFont val="Times New Roman"/>
        <charset val="134"/>
      </rPr>
      <t>"</t>
    </r>
    <r>
      <rPr>
        <sz val="10.5"/>
        <color rgb="FF0000FF"/>
        <rFont val="宋体"/>
        <charset val="134"/>
      </rPr>
      <t>雷系技能等级增加</t>
    </r>
    <r>
      <rPr>
        <sz val="10.5"/>
        <color rgb="FF0000FF"/>
        <rFont val="Times New Roman"/>
        <charset val="134"/>
      </rPr>
      <t>"</t>
    </r>
  </si>
  <si>
    <t>水系技能等级增加</t>
  </si>
  <si>
    <t>祝福</t>
  </si>
  <si>
    <t>剧毒</t>
  </si>
  <si>
    <t>6-8</t>
  </si>
  <si>
    <r>
      <rPr>
        <sz val="10.5"/>
        <color rgb="FF0000FF"/>
        <rFont val="Times New Roman"/>
        <charset val="134"/>
      </rPr>
      <t>"</t>
    </r>
    <r>
      <rPr>
        <sz val="10.5"/>
        <color rgb="FF0000FF"/>
        <rFont val="宋体"/>
        <charset val="134"/>
      </rPr>
      <t>雷电术技能等级增加</t>
    </r>
    <r>
      <rPr>
        <sz val="10.5"/>
        <color rgb="FF0000FF"/>
        <rFont val="Times New Roman"/>
        <charset val="134"/>
      </rPr>
      <t>"</t>
    </r>
  </si>
  <si>
    <t>火系技能等级增加</t>
  </si>
  <si>
    <t>崇高</t>
  </si>
  <si>
    <t>瘟疫</t>
  </si>
  <si>
    <r>
      <rPr>
        <sz val="10.5"/>
        <color rgb="FF0000FF"/>
        <rFont val="Times New Roman"/>
        <charset val="134"/>
      </rPr>
      <t>"</t>
    </r>
    <r>
      <rPr>
        <sz val="10.5"/>
        <color rgb="FF0000FF"/>
        <rFont val="宋体"/>
        <charset val="134"/>
      </rPr>
      <t>阴霾</t>
    </r>
    <r>
      <rPr>
        <sz val="10.5"/>
        <color rgb="FF0000FF"/>
        <rFont val="Times New Roman"/>
        <charset val="134"/>
      </rPr>
      <t>""</t>
    </r>
    <r>
      <rPr>
        <sz val="10.5"/>
        <color rgb="FF0000FF"/>
        <rFont val="宋体"/>
        <charset val="134"/>
      </rPr>
      <t>阴暗</t>
    </r>
    <r>
      <rPr>
        <sz val="10.5"/>
        <color rgb="FF0000FF"/>
        <rFont val="Times New Roman"/>
        <charset val="134"/>
      </rPr>
      <t>""</t>
    </r>
    <r>
      <rPr>
        <sz val="10.5"/>
        <color rgb="FF0000FF"/>
        <rFont val="宋体"/>
        <charset val="134"/>
      </rPr>
      <t>阴森</t>
    </r>
    <r>
      <rPr>
        <sz val="10.5"/>
        <color rgb="FF0000FF"/>
        <rFont val="Times New Roman"/>
        <charset val="134"/>
      </rPr>
      <t>"</t>
    </r>
  </si>
  <si>
    <r>
      <rPr>
        <sz val="10.5"/>
        <color rgb="FF0000FF"/>
        <rFont val="Times New Roman"/>
        <charset val="134"/>
      </rPr>
      <t>"</t>
    </r>
    <r>
      <rPr>
        <sz val="10.5"/>
        <color rgb="FF0000FF"/>
        <rFont val="宋体"/>
        <charset val="134"/>
      </rPr>
      <t>暗系技能等级增加</t>
    </r>
    <r>
      <rPr>
        <sz val="10.5"/>
        <color rgb="FF0000FF"/>
        <rFont val="Times New Roman"/>
        <charset val="134"/>
      </rPr>
      <t>"</t>
    </r>
  </si>
  <si>
    <t>雷系技能等级增加</t>
  </si>
  <si>
    <t>神圣</t>
  </si>
  <si>
    <t>8-10</t>
  </si>
  <si>
    <t>11-12</t>
  </si>
  <si>
    <r>
      <rPr>
        <sz val="10.5"/>
        <color rgb="FF0000FF"/>
        <rFont val="Times New Roman"/>
        <charset val="134"/>
      </rPr>
      <t>"</t>
    </r>
    <r>
      <rPr>
        <sz val="10.5"/>
        <color rgb="FF0000FF"/>
        <rFont val="宋体"/>
        <charset val="134"/>
      </rPr>
      <t>施毒术技能等级增加</t>
    </r>
    <r>
      <rPr>
        <sz val="10.5"/>
        <color rgb="FF0000FF"/>
        <rFont val="Times New Roman"/>
        <charset val="134"/>
      </rPr>
      <t>"</t>
    </r>
  </si>
  <si>
    <t>暗系技能等级增加</t>
  </si>
  <si>
    <t>神</t>
  </si>
  <si>
    <r>
      <rPr>
        <sz val="10.5"/>
        <color rgb="FF0000FF"/>
        <rFont val="Times New Roman"/>
        <charset val="134"/>
      </rPr>
      <t>"</t>
    </r>
    <r>
      <rPr>
        <sz val="10.5"/>
        <color rgb="FF0000FF"/>
        <rFont val="宋体"/>
        <charset val="134"/>
      </rPr>
      <t>索命毒雾技能等级增加</t>
    </r>
    <r>
      <rPr>
        <sz val="10.5"/>
        <color rgb="FF0000FF"/>
        <rFont val="Times New Roman"/>
        <charset val="134"/>
      </rPr>
      <t>"</t>
    </r>
  </si>
  <si>
    <t>圣系技能等级增加</t>
  </si>
  <si>
    <t>异常状态恢复</t>
  </si>
  <si>
    <t>恢复</t>
  </si>
  <si>
    <t>几率生命偷取</t>
  </si>
  <si>
    <t>偷取</t>
  </si>
  <si>
    <t>5-7</t>
  </si>
  <si>
    <r>
      <rPr>
        <sz val="10.5"/>
        <color rgb="FF0000FF"/>
        <rFont val="Times New Roman"/>
        <charset val="134"/>
      </rPr>
      <t>"</t>
    </r>
    <r>
      <rPr>
        <sz val="10.5"/>
        <color rgb="FF0000FF"/>
        <rFont val="宋体"/>
        <charset val="134"/>
      </rPr>
      <t>光亮</t>
    </r>
    <r>
      <rPr>
        <sz val="10.5"/>
        <color rgb="FF0000FF"/>
        <rFont val="Times New Roman"/>
        <charset val="134"/>
      </rPr>
      <t>""</t>
    </r>
    <r>
      <rPr>
        <sz val="10.5"/>
        <color rgb="FF0000FF"/>
        <rFont val="宋体"/>
        <charset val="134"/>
      </rPr>
      <t>闪耀</t>
    </r>
    <r>
      <rPr>
        <sz val="10.5"/>
        <color rgb="FF0000FF"/>
        <rFont val="Times New Roman"/>
        <charset val="134"/>
      </rPr>
      <t>""</t>
    </r>
    <r>
      <rPr>
        <sz val="10.5"/>
        <color rgb="FF0000FF"/>
        <rFont val="宋体"/>
        <charset val="134"/>
      </rPr>
      <t>光辉</t>
    </r>
    <r>
      <rPr>
        <sz val="10.5"/>
        <color rgb="FF0000FF"/>
        <rFont val="Times New Roman"/>
        <charset val="134"/>
      </rPr>
      <t>"</t>
    </r>
  </si>
  <si>
    <r>
      <rPr>
        <sz val="10.5"/>
        <color rgb="FF0000FF"/>
        <rFont val="Times New Roman"/>
        <charset val="134"/>
      </rPr>
      <t>"</t>
    </r>
    <r>
      <rPr>
        <sz val="10.5"/>
        <color rgb="FF0000FF"/>
        <rFont val="宋体"/>
        <charset val="134"/>
      </rPr>
      <t>圣系技能等级增加</t>
    </r>
    <r>
      <rPr>
        <sz val="10.5"/>
        <color rgb="FF0000FF"/>
        <rFont val="Times New Roman"/>
        <charset val="134"/>
      </rPr>
      <t>"</t>
    </r>
  </si>
  <si>
    <t>冰咆哮技能等级增加</t>
  </si>
  <si>
    <t>抵抗</t>
  </si>
  <si>
    <t>窃取</t>
  </si>
  <si>
    <t>4-10</t>
  </si>
  <si>
    <t>7-12</t>
  </si>
  <si>
    <r>
      <rPr>
        <sz val="10.5"/>
        <color rgb="FF0000FF"/>
        <rFont val="Times New Roman"/>
        <charset val="134"/>
      </rPr>
      <t>"</t>
    </r>
    <r>
      <rPr>
        <sz val="10.5"/>
        <color rgb="FF0000FF"/>
        <rFont val="宋体"/>
        <charset val="134"/>
      </rPr>
      <t>灵魂火符技能等级增加</t>
    </r>
    <r>
      <rPr>
        <sz val="10.5"/>
        <color rgb="FF0000FF"/>
        <rFont val="Times New Roman"/>
        <charset val="134"/>
      </rPr>
      <t>"</t>
    </r>
  </si>
  <si>
    <t>寒冰掌技能等级增加</t>
  </si>
  <si>
    <t>免疫</t>
  </si>
  <si>
    <r>
      <rPr>
        <sz val="10.5"/>
        <color rgb="FF0000FF"/>
        <rFont val="Times New Roman"/>
        <charset val="134"/>
      </rPr>
      <t>"</t>
    </r>
    <r>
      <rPr>
        <sz val="10.5"/>
        <color rgb="FF0000FF"/>
        <rFont val="宋体"/>
        <charset val="134"/>
      </rPr>
      <t>地狱雷光技能等级增加</t>
    </r>
    <r>
      <rPr>
        <sz val="10.5"/>
        <color rgb="FF0000FF"/>
        <rFont val="Times New Roman"/>
        <charset val="134"/>
      </rPr>
      <t>"</t>
    </r>
  </si>
  <si>
    <t>冰焰术技能等级增加</t>
  </si>
  <si>
    <t>幸运(据说7级链子出4运)</t>
  </si>
  <si>
    <t>手气</t>
  </si>
  <si>
    <t>烈火剑法技能等级增加</t>
  </si>
  <si>
    <t>运气</t>
  </si>
  <si>
    <t>经验增加</t>
  </si>
  <si>
    <t>成长</t>
  </si>
  <si>
    <r>
      <rPr>
        <sz val="10.5"/>
        <color rgb="FF0000FF"/>
        <rFont val="Times New Roman"/>
        <charset val="134"/>
      </rPr>
      <t>"</t>
    </r>
    <r>
      <rPr>
        <sz val="10.5"/>
        <color rgb="FF0000FF"/>
        <rFont val="宋体"/>
        <charset val="134"/>
      </rPr>
      <t>轻盈</t>
    </r>
    <r>
      <rPr>
        <sz val="10.5"/>
        <color rgb="FF0000FF"/>
        <rFont val="Times New Roman"/>
        <charset val="134"/>
      </rPr>
      <t>""</t>
    </r>
    <r>
      <rPr>
        <sz val="10.5"/>
        <color rgb="FF0000FF"/>
        <rFont val="宋体"/>
        <charset val="134"/>
      </rPr>
      <t>轻舞</t>
    </r>
    <r>
      <rPr>
        <sz val="10.5"/>
        <color rgb="FF0000FF"/>
        <rFont val="Times New Roman"/>
        <charset val="134"/>
      </rPr>
      <t>""</t>
    </r>
    <r>
      <rPr>
        <sz val="10.5"/>
        <color rgb="FF0000FF"/>
        <rFont val="宋体"/>
        <charset val="134"/>
      </rPr>
      <t>飞扬</t>
    </r>
    <r>
      <rPr>
        <sz val="10.5"/>
        <color rgb="FF0000FF"/>
        <rFont val="Times New Roman"/>
        <charset val="134"/>
      </rPr>
      <t>"</t>
    </r>
  </si>
  <si>
    <r>
      <rPr>
        <sz val="10.5"/>
        <color rgb="FF0000FF"/>
        <rFont val="Times New Roman"/>
        <charset val="134"/>
      </rPr>
      <t>"</t>
    </r>
    <r>
      <rPr>
        <sz val="10.5"/>
        <color rgb="FF0000FF"/>
        <rFont val="宋体"/>
        <charset val="134"/>
      </rPr>
      <t>攻击速度增加</t>
    </r>
    <r>
      <rPr>
        <sz val="10.5"/>
        <color rgb="FF0000FF"/>
        <rFont val="Times New Roman"/>
        <charset val="134"/>
      </rPr>
      <t>"</t>
    </r>
  </si>
  <si>
    <t>炙炎剑法技能等级增加</t>
  </si>
  <si>
    <t>成熟</t>
  </si>
  <si>
    <r>
      <rPr>
        <sz val="10.5"/>
        <color rgb="FF0000FF"/>
        <rFont val="Times New Roman"/>
        <charset val="134"/>
      </rPr>
      <t>"</t>
    </r>
    <r>
      <rPr>
        <sz val="10.5"/>
        <color rgb="FF0000FF"/>
        <rFont val="宋体"/>
        <charset val="134"/>
      </rPr>
      <t>偷取</t>
    </r>
    <r>
      <rPr>
        <sz val="10.5"/>
        <color rgb="FF0000FF"/>
        <rFont val="Times New Roman"/>
        <charset val="134"/>
      </rPr>
      <t>""</t>
    </r>
    <r>
      <rPr>
        <sz val="10.5"/>
        <color rgb="FF0000FF"/>
        <rFont val="宋体"/>
        <charset val="134"/>
      </rPr>
      <t>窃取</t>
    </r>
    <r>
      <rPr>
        <sz val="10.5"/>
        <color rgb="FF0000FF"/>
        <rFont val="Times New Roman"/>
        <charset val="134"/>
      </rPr>
      <t>""</t>
    </r>
    <r>
      <rPr>
        <sz val="10.5"/>
        <color rgb="FF0000FF"/>
        <rFont val="宋体"/>
        <charset val="134"/>
      </rPr>
      <t>生命</t>
    </r>
    <r>
      <rPr>
        <sz val="10.5"/>
        <color rgb="FF0000FF"/>
        <rFont val="Times New Roman"/>
        <charset val="134"/>
      </rPr>
      <t>"</t>
    </r>
  </si>
  <si>
    <r>
      <rPr>
        <sz val="10.5"/>
        <color rgb="FF0000FF"/>
        <rFont val="Times New Roman"/>
        <charset val="134"/>
      </rPr>
      <t>"</t>
    </r>
    <r>
      <rPr>
        <sz val="10.5"/>
        <color rgb="FF0000FF"/>
        <rFont val="宋体"/>
        <charset val="134"/>
      </rPr>
      <t>一定几率窃取攻击伤害至生命</t>
    </r>
    <r>
      <rPr>
        <sz val="10.5"/>
        <color rgb="FF0000FF"/>
        <rFont val="Times New Roman"/>
        <charset val="134"/>
      </rPr>
      <t>"</t>
    </r>
  </si>
  <si>
    <t>火墙技能等级增加</t>
  </si>
  <si>
    <t>真理</t>
  </si>
  <si>
    <t>18</t>
  </si>
  <si>
    <t>魔法躲避</t>
  </si>
  <si>
    <t>施法者</t>
  </si>
  <si>
    <t>独立</t>
  </si>
  <si>
    <r>
      <rPr>
        <sz val="10.5"/>
        <color rgb="FF0000FF"/>
        <rFont val="Times New Roman"/>
        <charset val="134"/>
      </rPr>
      <t>"</t>
    </r>
    <r>
      <rPr>
        <sz val="10.5"/>
        <color rgb="FF0000FF"/>
        <rFont val="宋体"/>
        <charset val="134"/>
      </rPr>
      <t>得体</t>
    </r>
    <r>
      <rPr>
        <sz val="10.5"/>
        <color rgb="FF0000FF"/>
        <rFont val="Times New Roman"/>
        <charset val="134"/>
      </rPr>
      <t>""</t>
    </r>
    <r>
      <rPr>
        <sz val="10.5"/>
        <color rgb="FF0000FF"/>
        <rFont val="宋体"/>
        <charset val="134"/>
      </rPr>
      <t>偶然</t>
    </r>
    <r>
      <rPr>
        <sz val="10.5"/>
        <color rgb="FF0000FF"/>
        <rFont val="Times New Roman"/>
        <charset val="134"/>
      </rPr>
      <t>"</t>
    </r>
  </si>
  <si>
    <r>
      <rPr>
        <sz val="10.5"/>
        <color rgb="FF0000FF"/>
        <rFont val="Times New Roman"/>
        <charset val="134"/>
      </rPr>
      <t>"</t>
    </r>
    <r>
      <rPr>
        <sz val="10.5"/>
        <color rgb="FF0000FF"/>
        <rFont val="宋体"/>
        <charset val="134"/>
      </rPr>
      <t>魔法掉落增加</t>
    </r>
    <r>
      <rPr>
        <sz val="10.5"/>
        <color rgb="FF0000FF"/>
        <rFont val="Times New Roman"/>
        <charset val="134"/>
      </rPr>
      <t>"</t>
    </r>
  </si>
  <si>
    <t>灭天火技能等级增加</t>
  </si>
  <si>
    <t>平衡</t>
  </si>
  <si>
    <t>16</t>
  </si>
  <si>
    <t>术士</t>
  </si>
  <si>
    <t>异常状态躲避</t>
  </si>
  <si>
    <r>
      <rPr>
        <sz val="10.5"/>
        <color rgb="FF0000FF"/>
        <rFont val="Times New Roman"/>
        <charset val="134"/>
      </rPr>
      <t>"</t>
    </r>
    <r>
      <rPr>
        <sz val="10.5"/>
        <color rgb="FF0000FF"/>
        <rFont val="宋体"/>
        <charset val="134"/>
      </rPr>
      <t>手气</t>
    </r>
    <r>
      <rPr>
        <sz val="10.5"/>
        <color rgb="FF0000FF"/>
        <rFont val="Times New Roman"/>
        <charset val="134"/>
      </rPr>
      <t>""</t>
    </r>
    <r>
      <rPr>
        <sz val="10.5"/>
        <color rgb="FF0000FF"/>
        <rFont val="宋体"/>
        <charset val="134"/>
      </rPr>
      <t>运气</t>
    </r>
    <r>
      <rPr>
        <sz val="10.5"/>
        <color rgb="FF0000FF"/>
        <rFont val="Times New Roman"/>
        <charset val="134"/>
      </rPr>
      <t>""</t>
    </r>
    <r>
      <rPr>
        <sz val="10.5"/>
        <color rgb="FF0000FF"/>
        <rFont val="宋体"/>
        <charset val="134"/>
      </rPr>
      <t>幸运</t>
    </r>
    <r>
      <rPr>
        <sz val="10.5"/>
        <color rgb="FF0000FF"/>
        <rFont val="Times New Roman"/>
        <charset val="134"/>
      </rPr>
      <t>"</t>
    </r>
  </si>
  <si>
    <r>
      <rPr>
        <sz val="10.5"/>
        <color rgb="FF0000FF"/>
        <rFont val="Times New Roman"/>
        <charset val="134"/>
      </rPr>
      <t>"</t>
    </r>
    <r>
      <rPr>
        <sz val="10.5"/>
        <color rgb="FF0000FF"/>
        <rFont val="宋体"/>
        <charset val="134"/>
      </rPr>
      <t>幸运增加</t>
    </r>
    <r>
      <rPr>
        <sz val="10.5"/>
        <color rgb="FF0000FF"/>
        <rFont val="Times New Roman"/>
        <charset val="134"/>
      </rPr>
      <t>"</t>
    </r>
  </si>
  <si>
    <t>火流星技能等级增加</t>
  </si>
  <si>
    <t>均衡</t>
  </si>
  <si>
    <t>28</t>
  </si>
  <si>
    <t>大魔法师</t>
  </si>
  <si>
    <r>
      <rPr>
        <sz val="10.5"/>
        <color rgb="FF0000FF"/>
        <rFont val="Times New Roman"/>
        <charset val="134"/>
      </rPr>
      <t>"</t>
    </r>
    <r>
      <rPr>
        <sz val="10.5"/>
        <color rgb="FF0000FF"/>
        <rFont val="宋体"/>
        <charset val="134"/>
      </rPr>
      <t>镍</t>
    </r>
    <r>
      <rPr>
        <sz val="10.5"/>
        <color rgb="FF0000FF"/>
        <rFont val="Times New Roman"/>
        <charset val="134"/>
      </rPr>
      <t>""</t>
    </r>
    <r>
      <rPr>
        <sz val="10.5"/>
        <color rgb="FF0000FF"/>
        <rFont val="宋体"/>
        <charset val="134"/>
      </rPr>
      <t>锡</t>
    </r>
    <r>
      <rPr>
        <sz val="10.5"/>
        <color rgb="FF0000FF"/>
        <rFont val="Times New Roman"/>
        <charset val="134"/>
      </rPr>
      <t>""</t>
    </r>
    <r>
      <rPr>
        <sz val="10.5"/>
        <color rgb="FF0000FF"/>
        <rFont val="宋体"/>
        <charset val="134"/>
      </rPr>
      <t>银</t>
    </r>
    <r>
      <rPr>
        <sz val="10.5"/>
        <color rgb="FF0000FF"/>
        <rFont val="Times New Roman"/>
        <charset val="134"/>
      </rPr>
      <t>""</t>
    </r>
    <r>
      <rPr>
        <sz val="10.5"/>
        <color rgb="FF0000FF"/>
        <rFont val="宋体"/>
        <charset val="134"/>
      </rPr>
      <t>钛</t>
    </r>
    <r>
      <rPr>
        <sz val="10.5"/>
        <color rgb="FF0000FF"/>
        <rFont val="Times New Roman"/>
        <charset val="134"/>
      </rPr>
      <t>""</t>
    </r>
    <r>
      <rPr>
        <sz val="10.5"/>
        <color rgb="FF0000FF"/>
        <rFont val="宋体"/>
        <charset val="134"/>
      </rPr>
      <t>铂</t>
    </r>
    <r>
      <rPr>
        <sz val="10.5"/>
        <color rgb="FF0000FF"/>
        <rFont val="Times New Roman"/>
        <charset val="134"/>
      </rPr>
      <t>"</t>
    </r>
  </si>
  <si>
    <r>
      <rPr>
        <sz val="10.5"/>
        <color rgb="FF0000FF"/>
        <rFont val="Times New Roman"/>
        <charset val="134"/>
      </rPr>
      <t>"</t>
    </r>
    <r>
      <rPr>
        <sz val="10.5"/>
        <color rgb="FF0000FF"/>
        <rFont val="宋体"/>
        <charset val="134"/>
      </rPr>
      <t>暴击概率增加</t>
    </r>
    <r>
      <rPr>
        <sz val="10.5"/>
        <color rgb="FF0000FF"/>
        <rFont val="Times New Roman"/>
        <charset val="134"/>
      </rPr>
      <t>"</t>
    </r>
  </si>
  <si>
    <t>火龙气焰技能等级增加</t>
  </si>
  <si>
    <t>稳定</t>
  </si>
  <si>
    <t>29</t>
  </si>
  <si>
    <t>34</t>
  </si>
  <si>
    <t>照亮范围</t>
  </si>
  <si>
    <t>明亮</t>
  </si>
  <si>
    <t>雷电术技能等级增加</t>
  </si>
  <si>
    <t>稳固</t>
  </si>
  <si>
    <t>32</t>
  </si>
  <si>
    <t>37</t>
  </si>
  <si>
    <t>微光</t>
  </si>
  <si>
    <r>
      <rPr>
        <sz val="10.5"/>
        <color rgb="FF0000FF"/>
        <rFont val="Times New Roman"/>
        <charset val="134"/>
      </rPr>
      <t>"</t>
    </r>
    <r>
      <rPr>
        <sz val="10.5"/>
        <color rgb="FF0000FF"/>
        <rFont val="宋体"/>
        <charset val="134"/>
      </rPr>
      <t>愤怒</t>
    </r>
    <r>
      <rPr>
        <sz val="10.5"/>
        <color rgb="FF0000FF"/>
        <rFont val="Times New Roman"/>
        <charset val="134"/>
      </rPr>
      <t>""</t>
    </r>
    <r>
      <rPr>
        <sz val="10.5"/>
        <color rgb="FF0000FF"/>
        <rFont val="宋体"/>
        <charset val="134"/>
      </rPr>
      <t>怒气</t>
    </r>
    <r>
      <rPr>
        <sz val="10.5"/>
        <color rgb="FF0000FF"/>
        <rFont val="Times New Roman"/>
        <charset val="134"/>
      </rPr>
      <t>""</t>
    </r>
    <r>
      <rPr>
        <sz val="10.5"/>
        <color rgb="FF0000FF"/>
        <rFont val="宋体"/>
        <charset val="134"/>
      </rPr>
      <t>狂怒</t>
    </r>
    <r>
      <rPr>
        <sz val="10.5"/>
        <color rgb="FF0000FF"/>
        <rFont val="Times New Roman"/>
        <charset val="134"/>
      </rPr>
      <t>"</t>
    </r>
  </si>
  <si>
    <r>
      <rPr>
        <sz val="10.5"/>
        <color rgb="FF0000FF"/>
        <rFont val="Times New Roman"/>
        <charset val="134"/>
      </rPr>
      <t>"</t>
    </r>
    <r>
      <rPr>
        <sz val="10.5"/>
        <color rgb="FF0000FF"/>
        <rFont val="宋体"/>
        <charset val="134"/>
      </rPr>
      <t>暴击上限增加</t>
    </r>
    <r>
      <rPr>
        <sz val="10.5"/>
        <color rgb="FF0000FF"/>
        <rFont val="Times New Roman"/>
        <charset val="134"/>
      </rPr>
      <t>"</t>
    </r>
  </si>
  <si>
    <t>施毒术技能等级增加</t>
  </si>
  <si>
    <t>物伤吸收</t>
  </si>
  <si>
    <t>健康</t>
  </si>
  <si>
    <t>发光</t>
  </si>
  <si>
    <r>
      <rPr>
        <sz val="10.5"/>
        <color rgb="FF0000FF"/>
        <rFont val="Times New Roman"/>
        <charset val="134"/>
      </rPr>
      <t>"</t>
    </r>
    <r>
      <rPr>
        <sz val="10.5"/>
        <color rgb="FF0000FF"/>
        <rFont val="宋体"/>
        <charset val="134"/>
      </rPr>
      <t>成长</t>
    </r>
    <r>
      <rPr>
        <sz val="10.5"/>
        <color rgb="FF0000FF"/>
        <rFont val="Times New Roman"/>
        <charset val="134"/>
      </rPr>
      <t>""</t>
    </r>
    <r>
      <rPr>
        <sz val="10.5"/>
        <color rgb="FF0000FF"/>
        <rFont val="宋体"/>
        <charset val="134"/>
      </rPr>
      <t>成熟</t>
    </r>
    <r>
      <rPr>
        <sz val="10.5"/>
        <color rgb="FF0000FF"/>
        <rFont val="Times New Roman"/>
        <charset val="134"/>
      </rPr>
      <t>""</t>
    </r>
    <r>
      <rPr>
        <sz val="10.5"/>
        <color rgb="FF0000FF"/>
        <rFont val="宋体"/>
        <charset val="134"/>
      </rPr>
      <t>独立</t>
    </r>
    <r>
      <rPr>
        <sz val="10.5"/>
        <color rgb="FF0000FF"/>
        <rFont val="Times New Roman"/>
        <charset val="134"/>
      </rPr>
      <t>"</t>
    </r>
  </si>
  <si>
    <r>
      <rPr>
        <sz val="10.5"/>
        <color rgb="FF0000FF"/>
        <rFont val="Times New Roman"/>
        <charset val="134"/>
      </rPr>
      <t>"</t>
    </r>
    <r>
      <rPr>
        <sz val="10.5"/>
        <color rgb="FF0000FF"/>
        <rFont val="宋体"/>
        <charset val="134"/>
      </rPr>
      <t>消灭怪物后经验上升</t>
    </r>
    <r>
      <rPr>
        <sz val="10.5"/>
        <color rgb="FF0000FF"/>
        <rFont val="Times New Roman"/>
        <charset val="134"/>
      </rPr>
      <t>"</t>
    </r>
  </si>
  <si>
    <t>索命毒雾技能等级增加</t>
  </si>
  <si>
    <t>保护</t>
  </si>
  <si>
    <t>光明</t>
  </si>
  <si>
    <r>
      <rPr>
        <sz val="10.5"/>
        <color rgb="FF0000FF"/>
        <rFont val="Times New Roman"/>
        <charset val="134"/>
      </rPr>
      <t>"</t>
    </r>
    <r>
      <rPr>
        <sz val="10.5"/>
        <color rgb="FF0000FF"/>
        <rFont val="宋体"/>
        <charset val="134"/>
      </rPr>
      <t>施法者</t>
    </r>
    <r>
      <rPr>
        <sz val="10.5"/>
        <color rgb="FF0000FF"/>
        <rFont val="Times New Roman"/>
        <charset val="134"/>
      </rPr>
      <t>""</t>
    </r>
    <r>
      <rPr>
        <sz val="10.5"/>
        <color rgb="FF0000FF"/>
        <rFont val="宋体"/>
        <charset val="134"/>
      </rPr>
      <t>术士</t>
    </r>
    <r>
      <rPr>
        <sz val="10.5"/>
        <color rgb="FF0000FF"/>
        <rFont val="Times New Roman"/>
        <charset val="134"/>
      </rPr>
      <t>""</t>
    </r>
    <r>
      <rPr>
        <sz val="10.5"/>
        <color rgb="FF0000FF"/>
        <rFont val="宋体"/>
        <charset val="134"/>
      </rPr>
      <t>大魔法师</t>
    </r>
    <r>
      <rPr>
        <sz val="10.5"/>
        <color rgb="FF0000FF"/>
        <rFont val="Times New Roman"/>
        <charset val="134"/>
      </rPr>
      <t>"</t>
    </r>
  </si>
  <si>
    <r>
      <rPr>
        <sz val="10.5"/>
        <color rgb="FF0000FF"/>
        <rFont val="Times New Roman"/>
        <charset val="134"/>
      </rPr>
      <t>"</t>
    </r>
    <r>
      <rPr>
        <sz val="10.5"/>
        <color rgb="FF0000FF"/>
        <rFont val="宋体"/>
        <charset val="134"/>
      </rPr>
      <t>魔法躲避增加</t>
    </r>
    <r>
      <rPr>
        <sz val="10.5"/>
        <color rgb="FF0000FF"/>
        <rFont val="Times New Roman"/>
        <charset val="134"/>
      </rPr>
      <t>"</t>
    </r>
  </si>
  <si>
    <t>地狱雷光技能等级增加</t>
  </si>
  <si>
    <t>吸收</t>
  </si>
  <si>
    <t>光彩</t>
  </si>
  <si>
    <r>
      <rPr>
        <sz val="10.5"/>
        <color rgb="FF0000FF"/>
        <rFont val="Times New Roman"/>
        <charset val="134"/>
      </rPr>
      <t>"</t>
    </r>
    <r>
      <rPr>
        <sz val="10.5"/>
        <color rgb="FF0000FF"/>
        <rFont val="宋体"/>
        <charset val="134"/>
      </rPr>
      <t>毒物躲避增加</t>
    </r>
    <r>
      <rPr>
        <sz val="10.5"/>
        <color rgb="FF0000FF"/>
        <rFont val="Times New Roman"/>
        <charset val="134"/>
      </rPr>
      <t>"</t>
    </r>
  </si>
  <si>
    <t>灵魂火符技能等级增加</t>
  </si>
  <si>
    <t>永生</t>
  </si>
  <si>
    <t>太阳</t>
  </si>
  <si>
    <t>宝石</t>
  </si>
  <si>
    <r>
      <rPr>
        <sz val="10.5"/>
        <color rgb="FF0000FF"/>
        <rFont val="Times New Roman"/>
        <charset val="134"/>
      </rPr>
      <t>"</t>
    </r>
    <r>
      <rPr>
        <sz val="10.5"/>
        <color rgb="FF0000FF"/>
        <rFont val="宋体"/>
        <charset val="134"/>
      </rPr>
      <t>石化躲避增加</t>
    </r>
    <r>
      <rPr>
        <sz val="10.5"/>
        <color rgb="FF0000FF"/>
        <rFont val="Times New Roman"/>
        <charset val="134"/>
      </rPr>
      <t>"</t>
    </r>
  </si>
  <si>
    <t>冰咆哮技能伤害增加</t>
  </si>
  <si>
    <t>魔伤吸收</t>
  </si>
  <si>
    <t>守卫</t>
  </si>
  <si>
    <r>
      <rPr>
        <sz val="10.5"/>
        <color rgb="FF0000FF"/>
        <rFont val="Times New Roman"/>
        <charset val="134"/>
      </rPr>
      <t>"</t>
    </r>
    <r>
      <rPr>
        <sz val="10.5"/>
        <color rgb="FF0000FF"/>
        <rFont val="宋体"/>
        <charset val="134"/>
      </rPr>
      <t>冷冻躲避增加</t>
    </r>
    <r>
      <rPr>
        <sz val="10.5"/>
        <color rgb="FF0000FF"/>
        <rFont val="Times New Roman"/>
        <charset val="134"/>
      </rPr>
      <t>"</t>
    </r>
  </si>
  <si>
    <t>寒冰掌技能伤害增加</t>
  </si>
  <si>
    <t>哨兵</t>
  </si>
  <si>
    <t>勋章</t>
  </si>
  <si>
    <r>
      <rPr>
        <sz val="10.5"/>
        <color rgb="FF0000FF"/>
        <rFont val="Times New Roman"/>
        <charset val="134"/>
      </rPr>
      <t>"</t>
    </r>
    <r>
      <rPr>
        <sz val="10.5"/>
        <color rgb="FF0000FF"/>
        <rFont val="宋体"/>
        <charset val="134"/>
      </rPr>
      <t>恢复</t>
    </r>
    <r>
      <rPr>
        <sz val="10.5"/>
        <color rgb="FF0000FF"/>
        <rFont val="Times New Roman"/>
        <charset val="134"/>
      </rPr>
      <t>""</t>
    </r>
    <r>
      <rPr>
        <sz val="10.5"/>
        <color rgb="FF0000FF"/>
        <rFont val="宋体"/>
        <charset val="134"/>
      </rPr>
      <t>抵抗</t>
    </r>
    <r>
      <rPr>
        <sz val="10.5"/>
        <color rgb="FF0000FF"/>
        <rFont val="Times New Roman"/>
        <charset val="134"/>
      </rPr>
      <t>""</t>
    </r>
    <r>
      <rPr>
        <sz val="10.5"/>
        <color rgb="FF0000FF"/>
        <rFont val="宋体"/>
        <charset val="134"/>
      </rPr>
      <t>免疫</t>
    </r>
    <r>
      <rPr>
        <sz val="10.5"/>
        <color rgb="FF0000FF"/>
        <rFont val="Times New Roman"/>
        <charset val="134"/>
      </rPr>
      <t>"</t>
    </r>
  </si>
  <si>
    <r>
      <rPr>
        <sz val="10.5"/>
        <color rgb="FF0000FF"/>
        <rFont val="Times New Roman"/>
        <charset val="134"/>
      </rPr>
      <t>"</t>
    </r>
    <r>
      <rPr>
        <sz val="10.5"/>
        <color rgb="FF0000FF"/>
        <rFont val="宋体"/>
        <charset val="134"/>
      </rPr>
      <t>中毒恢复增加</t>
    </r>
    <r>
      <rPr>
        <sz val="10.5"/>
        <color rgb="FF0000FF"/>
        <rFont val="Times New Roman"/>
        <charset val="134"/>
      </rPr>
      <t>"</t>
    </r>
  </si>
  <si>
    <t>冰焰术技能伤害增加</t>
  </si>
  <si>
    <t>守护</t>
  </si>
  <si>
    <r>
      <rPr>
        <sz val="10.5"/>
        <color rgb="FF0000FF"/>
        <rFont val="Times New Roman"/>
        <charset val="134"/>
      </rPr>
      <t>"</t>
    </r>
    <r>
      <rPr>
        <sz val="10.5"/>
        <color rgb="FF0000FF"/>
        <rFont val="宋体"/>
        <charset val="134"/>
      </rPr>
      <t>石化恢复增加</t>
    </r>
    <r>
      <rPr>
        <sz val="10.5"/>
        <color rgb="FF0000FF"/>
        <rFont val="Times New Roman"/>
        <charset val="134"/>
      </rPr>
      <t>"</t>
    </r>
  </si>
  <si>
    <t>烈火剑法技能伤害增加</t>
  </si>
  <si>
    <t>否定</t>
  </si>
  <si>
    <r>
      <rPr>
        <sz val="10.5"/>
        <color rgb="FF0000FF"/>
        <rFont val="Times New Roman"/>
        <charset val="134"/>
      </rPr>
      <t>"</t>
    </r>
    <r>
      <rPr>
        <sz val="10.5"/>
        <color rgb="FF0000FF"/>
        <rFont val="宋体"/>
        <charset val="134"/>
      </rPr>
      <t>冷冻恢复增加</t>
    </r>
    <r>
      <rPr>
        <sz val="10.5"/>
        <color rgb="FF0000FF"/>
        <rFont val="Times New Roman"/>
        <charset val="134"/>
      </rPr>
      <t>"</t>
    </r>
  </si>
  <si>
    <t>炙炎剑法技能伤害增加</t>
  </si>
  <si>
    <t>自愈、生气、充沛</t>
  </si>
  <si>
    <t>火球术技能伤害增加</t>
  </si>
  <si>
    <t>鞋子</t>
  </si>
  <si>
    <t>镍</t>
  </si>
  <si>
    <t>魔力、玄妙、超尘</t>
  </si>
  <si>
    <t>法力恢复速度增加</t>
  </si>
  <si>
    <t>灭天火技能伤害增加</t>
  </si>
  <si>
    <t>锡</t>
  </si>
  <si>
    <t>真理、平衡、均衡、稳定、稳固</t>
  </si>
  <si>
    <t>火流星技能伤害增加</t>
  </si>
  <si>
    <t>银</t>
  </si>
  <si>
    <t>明亮、微光、发光、光明、光彩、太阳</t>
  </si>
  <si>
    <t>火龙气焰技能伤害增加</t>
  </si>
  <si>
    <t>钛</t>
  </si>
  <si>
    <t>健康、保护、吸收、永生</t>
  </si>
  <si>
    <t>雷电术技能伤害增加</t>
  </si>
  <si>
    <t>法力自然回复</t>
  </si>
  <si>
    <t>魔力</t>
  </si>
  <si>
    <t>铂</t>
  </si>
  <si>
    <t>守卫、哨兵、守护、否定</t>
  </si>
  <si>
    <t>施毒术技能伤害增加</t>
  </si>
  <si>
    <t>玄妙</t>
  </si>
  <si>
    <t>暴击伤害</t>
  </si>
  <si>
    <t>愤怒</t>
  </si>
  <si>
    <t>工匠、狂怒、伤残、屠杀、残杀、宰杀</t>
  </si>
  <si>
    <t>一定几率增强伤害</t>
  </si>
  <si>
    <t>索命毒雾技能伤害增加</t>
  </si>
  <si>
    <t>超尘</t>
  </si>
  <si>
    <t>怒气</t>
  </si>
  <si>
    <t>凝血、品质、愤怒、破坏</t>
  </si>
  <si>
    <t>召唤兽暴击几率增加</t>
  </si>
  <si>
    <t>地狱雷光技能伤害增加</t>
  </si>
  <si>
    <t>狂怒</t>
  </si>
  <si>
    <t>价值、快乐、测量、精灵</t>
  </si>
  <si>
    <t>召唤兽暴击上限增加</t>
  </si>
  <si>
    <t>灵魂火符技能伤害增加</t>
  </si>
  <si>
    <t>腰带</t>
  </si>
  <si>
    <t>几率增强伤害</t>
  </si>
  <si>
    <t>工匠</t>
  </si>
  <si>
    <t>上古神兽初始等级增加</t>
  </si>
  <si>
    <t>白虎初始等级增加</t>
  </si>
  <si>
    <t>伤残</t>
  </si>
  <si>
    <t>月灵初始等级增加</t>
  </si>
  <si>
    <t>屠杀</t>
  </si>
  <si>
    <t>残杀</t>
  </si>
  <si>
    <t>宰杀</t>
  </si>
  <si>
    <t>8-11</t>
  </si>
  <si>
    <t>12-15</t>
  </si>
  <si>
    <t>魔法掉落增加</t>
  </si>
  <si>
    <t>召唤兽暴击几率</t>
  </si>
  <si>
    <t>凝血</t>
  </si>
  <si>
    <t>消灭怪物后经验上升</t>
  </si>
  <si>
    <t>品质</t>
  </si>
  <si>
    <t>毒物躲避增加</t>
  </si>
  <si>
    <t>14</t>
  </si>
  <si>
    <t>破坏</t>
  </si>
  <si>
    <t>石化躲避增加</t>
  </si>
  <si>
    <t>召唤兽暴击伤害</t>
  </si>
  <si>
    <t>价值</t>
  </si>
  <si>
    <t>快乐</t>
  </si>
  <si>
    <t>冷冻躲避增加</t>
  </si>
  <si>
    <t>测量</t>
  </si>
  <si>
    <t>精灵</t>
  </si>
  <si>
    <t>精神力攻击伤害增</t>
  </si>
  <si>
    <t>首先，说一下词缀重复，生命增加有生命词缀，生命偷取也有生命词缀；暴击伤害的愤怒狂怒词缀，跟新词缀几率增强伤害狂怒和召唤兽暴击愤怒重叠。第二，生命词缀不在攻略列表里面。
武器：飞扬词缀无需追求，出现频率是以千次为单位的。高级伤害词缀大概率都没中级词缀好，比如绝情词缀容易出，也容易出满属性，搭配2速也好出，凶暴残忍词缀更容易出1速，也更容易出低级属性，往往能出2速绝情14-17，而1速9-15,9-16的凶暴，1速11-17残忍，所以不一定要追求最好的词缀。
手工手：个人感觉不修改的前提下，5词缀能出的，包括伤害加成，火系的技能大概只能有3级加成，比如火龙气焰能加+3，但是火流星几乎不可能同时+3甚至是+2，同理烈火跟炙炎也一样。召唤兽加成正常能出的就是2个+2的，或者一个+3的。
项链：据说7级项链能出幸运4，但这个概率应该说极度之低。照亮词缀，是在原本的蜡烛火炬道具上加成，+1就是额外加1格照亮范围。
宝石：3.09.01的宝石更容易出暴击爆伤词缀，而3.09.02的宝石很难同时出暴击爆伤词缀，有也属于中低等属性。3.09.02容易出的是毒属性和新词缀，但高级词缀中除了宰杀，其他2个召唤兽的非常难出。</t>
  </si>
  <si>
    <t>鞋</t>
  </si>
  <si>
    <t>暴击概率增加</t>
  </si>
  <si>
    <t>暴击上限增加</t>
  </si>
  <si>
    <r>
      <rPr>
        <sz val="72"/>
        <color theme="1"/>
        <rFont val="宋体"/>
        <charset val="134"/>
      </rPr>
      <t>未完成，太难追了</t>
    </r>
  </si>
  <si>
    <t>狂风戒指</t>
  </si>
  <si>
    <t>星级（星）</t>
  </si>
  <si>
    <t>一次鉴定费用(w)</t>
  </si>
  <si>
    <t>二次鉴定费用(w)</t>
  </si>
  <si>
    <t>三次鉴定费用(w)</t>
  </si>
  <si>
    <t>四次鉴定费用(w)</t>
  </si>
  <si>
    <t>五次鉴定费用(w)</t>
  </si>
  <si>
    <t>总费用</t>
  </si>
  <si>
    <t>狂风项链</t>
  </si>
  <si>
    <t>六级手工手</t>
  </si>
  <si>
    <t>七级手工龙鳞盔</t>
  </si>
  <si>
    <t>七级手工龙鳞衣服</t>
  </si>
  <si>
    <t>大概的鉴定费用规律为，a阶装备，b星，5个词缀为上限，第c次鉴定，那么鉴定费用为a*(b+1)*c，最高七阶装备5次鉴定完总费用为945w。</t>
  </si>
  <si>
    <t>以下测试以3.09.01单机为基准，卓越破套升ss套</t>
  </si>
  <si>
    <t>凝晶石升星</t>
  </si>
  <si>
    <t>乾坤石洗8星极品</t>
  </si>
  <si>
    <t>成功次数</t>
  </si>
  <si>
    <t>凝晶石</t>
  </si>
  <si>
    <t>失败次数</t>
  </si>
  <si>
    <t>最终次数</t>
  </si>
  <si>
    <t>+8防御</t>
  </si>
  <si>
    <t>+8魔防</t>
  </si>
  <si>
    <t>+8攻击</t>
  </si>
  <si>
    <t>+8魔法</t>
  </si>
  <si>
    <t>+8道士</t>
  </si>
  <si>
    <t>+8准确</t>
  </si>
  <si>
    <t xml:space="preserve">+8躲 </t>
  </si>
  <si>
    <t>+3幸运</t>
  </si>
  <si>
    <t>魔戒</t>
  </si>
  <si>
    <t>映月镰</t>
  </si>
  <si>
    <t>魔坠</t>
  </si>
  <si>
    <t>龙鳞魔裳</t>
  </si>
  <si>
    <t>龙鳞盔</t>
  </si>
  <si>
    <t>亡魂棺</t>
  </si>
  <si>
    <t>魔轮</t>
  </si>
  <si>
    <t>天龙腰带</t>
  </si>
  <si>
    <t>天龙法靴</t>
  </si>
  <si>
    <t>神圣魔法宝石</t>
  </si>
  <si>
    <t>天龙法带</t>
  </si>
  <si>
    <t>天龙魔靴</t>
  </si>
  <si>
    <t>七星升级为八星</t>
  </si>
  <si>
    <t>事件</t>
  </si>
  <si>
    <t>1-7</t>
  </si>
  <si>
    <t>新手村任务阶段</t>
  </si>
  <si>
    <t>全村最靓的那个仔</t>
  </si>
  <si>
    <t>战神</t>
  </si>
  <si>
    <t>1级基本剑法</t>
  </si>
  <si>
    <t>7级自己感觉还不错，可惜隔壁法师太强了，跪</t>
  </si>
  <si>
    <t>战屎</t>
  </si>
  <si>
    <t>2级基本剑法</t>
  </si>
  <si>
    <t>11</t>
  </si>
  <si>
    <t>3级基本剑法</t>
  </si>
  <si>
    <t>我感觉自己还可以拯救一下，可是为何站不起来啊</t>
  </si>
  <si>
    <t>19</t>
  </si>
  <si>
    <t>1级攻杀剑法</t>
  </si>
  <si>
    <t>我。。。</t>
  </si>
  <si>
    <t>22</t>
  </si>
  <si>
    <t>2级攻杀剑法</t>
  </si>
  <si>
    <t>24</t>
  </si>
  <si>
    <t>3级攻杀剑法</t>
  </si>
  <si>
    <t>怪实在太变态了，help~</t>
  </si>
  <si>
    <t>1级刺杀剑法</t>
  </si>
  <si>
    <t>这技能，如此鸡肋</t>
  </si>
  <si>
    <t>27</t>
  </si>
  <si>
    <t>2级刺杀剑法</t>
  </si>
  <si>
    <t>1级半月弯刀</t>
  </si>
  <si>
    <t>你是在逗我玩吗？要你何用</t>
  </si>
  <si>
    <t>3级刺杀剑法</t>
  </si>
  <si>
    <t>哎，还是不行啊，大清药王了啊</t>
  </si>
  <si>
    <t>1级狂战士</t>
  </si>
  <si>
    <t>呜呜，爱卿实在是能人，可惜朕不行了啊</t>
  </si>
  <si>
    <t>31</t>
  </si>
  <si>
    <t>2级半月弯刀</t>
  </si>
  <si>
    <t>33</t>
  </si>
  <si>
    <t>1级稳如泰山</t>
  </si>
  <si>
    <t>抗压+1</t>
  </si>
  <si>
    <t>3级半月弯刀</t>
  </si>
  <si>
    <t>半月的作用实在不大啊</t>
  </si>
  <si>
    <t>35</t>
  </si>
  <si>
    <t>2级狂战士</t>
  </si>
  <si>
    <t>1级烈火剑法</t>
  </si>
  <si>
    <t>又是一位能人，朕一定不会一直跪着的</t>
  </si>
  <si>
    <t>36</t>
  </si>
  <si>
    <t>2级稳如泰山</t>
  </si>
  <si>
    <t>抗压+2</t>
  </si>
  <si>
    <t>2级烈火剑法</t>
  </si>
  <si>
    <t>3级稳如泰山</t>
  </si>
  <si>
    <t>3级烈火剑法</t>
  </si>
  <si>
    <t>1级狮子吼</t>
  </si>
  <si>
    <t>抗压+3，终于，朕，跪得舒服点了，隔壁太强了，暂避风头</t>
  </si>
  <si>
    <t>42</t>
  </si>
  <si>
    <t>3级狂战士</t>
  </si>
  <si>
    <t>2级狮子吼</t>
  </si>
  <si>
    <t>1级炙炎剑法</t>
  </si>
  <si>
    <t xml:space="preserve">1级狂风斩 </t>
  </si>
  <si>
    <t>哈哈哈，朕勉强站起来了，不过暂时还是跪着好</t>
  </si>
  <si>
    <t>44</t>
  </si>
  <si>
    <t>3级狮子吼</t>
  </si>
  <si>
    <t>2级炙炎剑法</t>
  </si>
  <si>
    <t>1级开天斩</t>
  </si>
  <si>
    <t>积蓄实力</t>
  </si>
  <si>
    <t>46</t>
  </si>
  <si>
    <t>3级炙炎剑法</t>
  </si>
  <si>
    <t xml:space="preserve">2级狂风斩 </t>
  </si>
  <si>
    <t>2级开天斩</t>
  </si>
  <si>
    <t>48</t>
  </si>
  <si>
    <t>3级开天斩</t>
  </si>
  <si>
    <t>50</t>
  </si>
  <si>
    <t xml:space="preserve">3级狂风斩 </t>
  </si>
  <si>
    <t>1级血龙剑法</t>
  </si>
  <si>
    <t>1级强化刺杀剑法</t>
  </si>
  <si>
    <t>我仿佛闻到了春天的气息</t>
  </si>
  <si>
    <t>52</t>
  </si>
  <si>
    <t xml:space="preserve">4级狂风斩 </t>
  </si>
  <si>
    <t>2级强化刺杀剑法</t>
  </si>
  <si>
    <t>狂雷套</t>
  </si>
  <si>
    <t>朕终于站起来了，隔壁都是畜生，练级先</t>
  </si>
  <si>
    <t>53</t>
  </si>
  <si>
    <t>2级血龙剑法</t>
  </si>
  <si>
    <t>54</t>
  </si>
  <si>
    <t>3级强化刺杀剑法</t>
  </si>
  <si>
    <t>单挑boss，怒刷装备，oh no，boss太强了，撤</t>
  </si>
  <si>
    <t>3级血龙剑法</t>
  </si>
  <si>
    <t>1级金刚不坏</t>
  </si>
  <si>
    <t>先观望下，朕，还会更强的，蛋白粉在手了，还怕肌肉不长？</t>
  </si>
  <si>
    <t>2级金刚不坏</t>
  </si>
  <si>
    <t>58</t>
  </si>
  <si>
    <t xml:space="preserve">5级狂风斩 </t>
  </si>
  <si>
    <t>59</t>
  </si>
  <si>
    <t>3级金刚不坏</t>
  </si>
  <si>
    <t xml:space="preserve">6级狂风斩 </t>
  </si>
  <si>
    <t>我觉得隔壁那个道士要比我菜了</t>
  </si>
  <si>
    <t>62</t>
  </si>
  <si>
    <t>4级金刚不坏</t>
  </si>
  <si>
    <t>卧槽，我强无敌，卧槽，我还可以更强</t>
  </si>
  <si>
    <t>天龙套</t>
  </si>
  <si>
    <t>单挑boss，怒刷装备，oh shit，快吃药</t>
  </si>
  <si>
    <t>65</t>
  </si>
  <si>
    <t>5级金刚不坏</t>
  </si>
  <si>
    <t>68</t>
  </si>
  <si>
    <t>虎甲</t>
  </si>
  <si>
    <t>我可以挂雪人，法师你除了这点，还有那点比我差？</t>
  </si>
  <si>
    <t>69</t>
  </si>
  <si>
    <t>6级金刚不坏</t>
  </si>
  <si>
    <t>我，强无敌，还有谁？除了隔壁那个法师，那是牲口</t>
  </si>
  <si>
    <t>破套</t>
  </si>
  <si>
    <t>单挑boss，怒刷装备，靠，狼好难打啊，冰龙使巨烦，好难受</t>
  </si>
  <si>
    <t>71-85</t>
  </si>
  <si>
    <t>挂件神器</t>
  </si>
  <si>
    <t>我可以挂机升级，还有谁？</t>
  </si>
  <si>
    <t>村里最惨的那个娃</t>
  </si>
  <si>
    <t>法屎</t>
  </si>
  <si>
    <t>1级小火球</t>
  </si>
  <si>
    <t>卧槽，低调低调，我tm开局拿居然拿了把手枪，啧啧啧，看隔壁还在舞刀弄剑</t>
  </si>
  <si>
    <t>法爷</t>
  </si>
  <si>
    <t>2级小火球</t>
  </si>
  <si>
    <t>3级小火球</t>
  </si>
  <si>
    <t>手枪真香，怪啊，来个能打的啊，你们怎么走得那么慢啊，走快点啊</t>
  </si>
  <si>
    <t>13</t>
  </si>
  <si>
    <t>1级诱惑之光</t>
  </si>
  <si>
    <t>额，这技能暂时没啥用</t>
  </si>
  <si>
    <t>2级诱惑之光</t>
  </si>
  <si>
    <t>火火火火</t>
  </si>
  <si>
    <t>17</t>
  </si>
  <si>
    <t>1级雷电术</t>
  </si>
  <si>
    <t>卧槽，手枪换满配m4，你还给我自瞄外挂，我差点想举报我自己了</t>
  </si>
  <si>
    <t>3级诱惑之光</t>
  </si>
  <si>
    <t>隔壁道士看起来有我刚出新手村的风范了，可惜爷现在贼强</t>
  </si>
  <si>
    <t>2级雷电术</t>
  </si>
  <si>
    <t>1级大火球</t>
  </si>
  <si>
    <t>啧啧啧，满配m4，还拿什么手枪，什么？你说这是柯尔特？抱歉，没自瞄伤害也低</t>
  </si>
  <si>
    <t>21</t>
  </si>
  <si>
    <t>2级大火球</t>
  </si>
  <si>
    <t>3级雷电术</t>
  </si>
  <si>
    <t>1级爆裂火焰</t>
  </si>
  <si>
    <t>这是个燃烧瓶吧，还是烧自己的，用不起用不起，不过我还是强无敌，还有谁？</t>
  </si>
  <si>
    <t>23</t>
  </si>
  <si>
    <t>3级大火球</t>
  </si>
  <si>
    <t>新配手枪真垃圾</t>
  </si>
  <si>
    <t>2级爆裂火焰</t>
  </si>
  <si>
    <t>1级火墙</t>
  </si>
  <si>
    <t>嗯，这个不错，比上面的燃烧瓶好多了</t>
  </si>
  <si>
    <t>3级爆裂火焰</t>
  </si>
  <si>
    <t>2级火墙</t>
  </si>
  <si>
    <t>1级地狱雷光</t>
  </si>
  <si>
    <t>卧槽，这是手雷？66666，走哪炸哪，做恐怖分子了</t>
  </si>
  <si>
    <t>丢雷放火，好爽</t>
  </si>
  <si>
    <t>2级地狱雷光</t>
  </si>
  <si>
    <t>1级魔法盾</t>
  </si>
  <si>
    <t>这防弹衣，才1级就这么厉害啊，带上宝宝，屠杀水龙</t>
  </si>
  <si>
    <t>2级魔法盾</t>
  </si>
  <si>
    <t>1级冰咆哮</t>
  </si>
  <si>
    <t>哦哦，这是上面那把手枪的亲戚吧，走开</t>
  </si>
  <si>
    <t>3级地狱雷光</t>
  </si>
  <si>
    <t>手雷真强，升级真快，隔壁看起来真苦逼</t>
  </si>
  <si>
    <t>3级魔法盾</t>
  </si>
  <si>
    <t>2级冰咆哮</t>
  </si>
  <si>
    <t>3级冰咆哮</t>
  </si>
  <si>
    <t>1级寒冰掌</t>
  </si>
  <si>
    <t>有点垃圾，自瞄m4也顶不住了啊</t>
  </si>
  <si>
    <t>2级寒冰掌</t>
  </si>
  <si>
    <t>1级灭天火</t>
  </si>
  <si>
    <t>有点垃圾，卧槽，隔壁道士有点猛，我快不行了</t>
  </si>
  <si>
    <t>3级寒冰掌</t>
  </si>
  <si>
    <t>2级灭天火</t>
  </si>
  <si>
    <t>1级火流星</t>
  </si>
  <si>
    <t>这冰要先放火，差评，不过小命要紧，而且，我居然到手了一把喷子，一手m4，一手喷子，强</t>
  </si>
  <si>
    <t>2级火流星</t>
  </si>
  <si>
    <t>喷子有点强，刷怪实在停不下来啊</t>
  </si>
  <si>
    <t>1级冰焰术</t>
  </si>
  <si>
    <t>1级强化雷电术</t>
  </si>
  <si>
    <t>满配m4居然还可以加强，我是开挂了么，不过冰焰你作为大哥，怎么比小弟寒冰还差呢</t>
  </si>
  <si>
    <t>51</t>
  </si>
  <si>
    <t>1级深渊术</t>
  </si>
  <si>
    <t>深渊术有点垃圾啊</t>
  </si>
  <si>
    <t>2级强化雷电术</t>
  </si>
  <si>
    <t>逆火套</t>
  </si>
  <si>
    <t>我有点强啊，这些怪不行了么</t>
  </si>
  <si>
    <t>2级冰焰术</t>
  </si>
  <si>
    <t>3级强化雷电术</t>
  </si>
  <si>
    <t>2级深渊术</t>
  </si>
  <si>
    <t>神器m4到手，可惜这些boss个个血有点厚，不过我还是巨tm强无敌</t>
  </si>
  <si>
    <t>1级护体神盾</t>
  </si>
  <si>
    <t>好难到手啊，这超级防弹衣</t>
  </si>
  <si>
    <t>56</t>
  </si>
  <si>
    <t>sorry，冰焰你真强，真香</t>
  </si>
  <si>
    <t>3级深渊术</t>
  </si>
  <si>
    <t>2级护体神盾</t>
  </si>
  <si>
    <t>3级护体神盾</t>
  </si>
  <si>
    <t>1级火龙气焰</t>
  </si>
  <si>
    <t>艹艹艹 这是机载火神加特林，tm居然是手持的，真怕有人举报我，超级防弹衣到手</t>
  </si>
  <si>
    <t>63</t>
  </si>
  <si>
    <t>4级深渊术</t>
  </si>
  <si>
    <t>风里来雨里去，没人能阻挡我~~</t>
  </si>
  <si>
    <t>2级火龙气焰</t>
  </si>
  <si>
    <t>5级深渊术</t>
  </si>
  <si>
    <t>浪里个浪，我单挑boss，怒刷装备，看隔壁2个真惨，哈哈哈</t>
  </si>
  <si>
    <t>73</t>
  </si>
  <si>
    <t>6级深渊术</t>
  </si>
  <si>
    <t>深渊术真香</t>
  </si>
  <si>
    <t>74-85</t>
  </si>
  <si>
    <t>额，我突然发现隔壁战士小伙子有点用，他能挂机，找他做挂件吧</t>
  </si>
  <si>
    <t>平凡的崽</t>
  </si>
  <si>
    <t>道屎</t>
  </si>
  <si>
    <t>1级治愈术</t>
  </si>
  <si>
    <t>坑爹玩意，隔壁法师拿了把手枪，你给我个医疗包？</t>
  </si>
  <si>
    <t>2级治愈术</t>
  </si>
  <si>
    <t>1级精神力战法</t>
  </si>
  <si>
    <t>看着隔壁战士哼哧哼哧的样子，这不是我现在的写照？</t>
  </si>
  <si>
    <t>3级治愈术</t>
  </si>
  <si>
    <t>2级精神力战法</t>
  </si>
  <si>
    <t>3级精神力战法</t>
  </si>
  <si>
    <t>1级施毒术</t>
  </si>
  <si>
    <t>神啊，救救我吧</t>
  </si>
  <si>
    <t>2级施毒术</t>
  </si>
  <si>
    <t>3级施毒术</t>
  </si>
  <si>
    <t>1级灵魂火符</t>
  </si>
  <si>
    <t>手枪到手，天下我有，艹，隔壁法师变态了，没人收么</t>
  </si>
  <si>
    <t>道士</t>
  </si>
  <si>
    <t>1级召唤骷髅</t>
  </si>
  <si>
    <t>小弟来了，舒服，生活不能自理靠别人理</t>
  </si>
  <si>
    <t>1级隐身术</t>
  </si>
  <si>
    <t>你看不到我看不到我</t>
  </si>
  <si>
    <t>2级灵魂火符</t>
  </si>
  <si>
    <t>2级召唤骷髅</t>
  </si>
  <si>
    <t>2级隐身术</t>
  </si>
  <si>
    <t>1级神圣战甲</t>
  </si>
  <si>
    <t>这是让我衣服弄湿了然后来防弹么，还是给我小弟吧</t>
  </si>
  <si>
    <t>3级灵魂火符</t>
  </si>
  <si>
    <t>3级召唤骷髅</t>
  </si>
  <si>
    <t>2级神圣战甲</t>
  </si>
  <si>
    <t>南孚电池，2节更比1节强，小弟真懂事</t>
  </si>
  <si>
    <t>3级隐身术</t>
  </si>
  <si>
    <t>26</t>
  </si>
  <si>
    <t>3级神圣战甲</t>
  </si>
  <si>
    <t>小弟还是挺能抗的么</t>
  </si>
  <si>
    <t>1级群体治愈术</t>
  </si>
  <si>
    <t>这，大号医疗包？</t>
  </si>
  <si>
    <t>2级群体治愈术</t>
  </si>
  <si>
    <t>1级召唤术</t>
  </si>
  <si>
    <t>好像应该比我之前的小弟厉害一点点</t>
  </si>
  <si>
    <t>3级群体治愈术</t>
  </si>
  <si>
    <t>2级召唤术</t>
  </si>
  <si>
    <t>隔壁法师冲不动了，加油</t>
  </si>
  <si>
    <t>3级召唤术</t>
  </si>
  <si>
    <t>1级进阶召唤</t>
  </si>
  <si>
    <t>这，我感觉我换小弟真快</t>
  </si>
  <si>
    <t>2级进阶召唤</t>
  </si>
  <si>
    <t>1级神兽天御</t>
  </si>
  <si>
    <t>1级幽冥鬼烧</t>
  </si>
  <si>
    <t>小弟居然有专属装备，我居然没有，想给差评又不敢。。</t>
  </si>
  <si>
    <t>道爷</t>
  </si>
  <si>
    <t>3级进阶召唤</t>
  </si>
  <si>
    <t>2级神兽天御</t>
  </si>
  <si>
    <t>1级先天气功</t>
  </si>
  <si>
    <t>我抗不住啊，这给我有啥用，这是告诉我，我就是个省钱的人？</t>
  </si>
  <si>
    <t>45</t>
  </si>
  <si>
    <t>2级幽冥鬼烧</t>
  </si>
  <si>
    <t>3级神兽天御</t>
  </si>
  <si>
    <t>2级先天气功</t>
  </si>
  <si>
    <t>小弟好强啊，可惜了，隔壁法师居然又变强了，勉强跟我差不多吧</t>
  </si>
  <si>
    <t>3级先天气功</t>
  </si>
  <si>
    <t>3级幽冥鬼烧</t>
  </si>
  <si>
    <t>1级召唤白虎</t>
  </si>
  <si>
    <t>1级强化施毒术</t>
  </si>
  <si>
    <t>2级强化施毒术</t>
  </si>
  <si>
    <t>1级索命毒雾</t>
  </si>
  <si>
    <t>生化武器到手，什么？要我也在里面，有点惹不起啊</t>
  </si>
  <si>
    <t>4级幽冥鬼烧</t>
  </si>
  <si>
    <t>2级召唤白虎</t>
  </si>
  <si>
    <t>1级强化灵魂火符</t>
  </si>
  <si>
    <t>你手枪还是你手枪，我要ak，m4，大炮</t>
  </si>
  <si>
    <t>3级强化施毒术</t>
  </si>
  <si>
    <t>2级索命毒雾</t>
  </si>
  <si>
    <t>3级召唤白虎</t>
  </si>
  <si>
    <t>2级强化灵魂火符</t>
  </si>
  <si>
    <t>3级索命毒雾</t>
  </si>
  <si>
    <t>3级强化灵魂火符</t>
  </si>
  <si>
    <t>1级强化白虎</t>
  </si>
  <si>
    <t>这个小弟除了血多能抗，还没我之前的能打，差评</t>
  </si>
  <si>
    <t>2级强化白虎</t>
  </si>
  <si>
    <t>5级幽冥鬼烧</t>
  </si>
  <si>
    <t>3级强化白虎</t>
  </si>
  <si>
    <t>1级召唤月灵</t>
  </si>
  <si>
    <t>小弟还没热乎，新小弟又来了，还是个出手就要收费的</t>
  </si>
  <si>
    <t>卧槽，help，这龙什么鬼，help，小弟快上，卧槽，小弟又挂了，小弟快来</t>
  </si>
  <si>
    <t>6级幽冥鬼烧</t>
  </si>
  <si>
    <t>2级召唤月灵</t>
  </si>
  <si>
    <t>1级先天罡气</t>
  </si>
  <si>
    <t>额，感觉，应该，大概，这是给小弟的技能吧</t>
  </si>
  <si>
    <t>3级召唤月灵</t>
  </si>
  <si>
    <t>2级先天罡气</t>
  </si>
  <si>
    <t>鬼烧还不错，可惜鸡肋，help，我不想挂机了，放开我</t>
  </si>
  <si>
    <t>74</t>
  </si>
  <si>
    <t>3级先天罡气</t>
  </si>
  <si>
    <t>┭┮﹏┭┮ help~  我挂不动了</t>
  </si>
  <si>
    <t>75-85</t>
  </si>
  <si>
    <t>救救孩子吧</t>
  </si>
  <si>
    <t>上面纯属娱乐，但极大地反映了打怪的情况。
1.战士在没有装备属性的支撑下，其作战能力极为有限，在前期更是弱得一塌糊涂，生活难以自理。除开攻杀这个过渡技能，战士有2个明显增强输出的时期，一个是30-42级的狂战士+烈火，另一个是42-55级的炙炎开天血龙强刺和狂风，尴尬的是，这2个时期，前者攻击力比较低，后者却开始出现扛不住怪的情况。所以战士最后一波高潮是变能抗，不死就有输出，金刚不坏这个防御技能其实是战士最强的输出技能。当然，个人认为战士另一个神技是血龙剑法，超级神技。
2.法师是BM最强职业，毋庸置疑，无明显弱势期，哪怕最弱时也比战士道士好，有明显的强势期，小火球，雷电术，地狱雷光，魔法盾，火流星，冰焰术，火龙焰气，护体神盾，这些技能时期都是法师的强势期。法师前期完全不依靠装备的魔法加成，无脑堆防御就能通关各种boss直至打龙，也因为堆防御+魔法盾的存在，显得肉身更能抗怪，刷怪变得更快，这就像一个良性循环，也因此法师开荒能跳过赤月套，强化套，战神套，甚至王者套。成长速度最快，一人养三人。冰焰术是BM中最强辅助技能，也是法师提升输出减少受伤害次数的神技，极大提升法师的群怪能力。但法师极度怕遇到四元素词缀怪，特别是双词缀中带有元素词缀的，极度难打。法师极度废手。
3.道士是一个前中期优势极度明显的职业，其缺点是主要输出技能毒雾，会吸引怪的仇恨，而自己却无法抗boss或者更多小怪，良好的卡拐点太少了，所以其主要输出依旧会是宠物，像遇到龙这种全屏伤害boss，装备好时还能勉强丢火符偷输出，扛不住就全凭宠物输出，最蛋疼的是最强输出却是带狗石的圣兽，最好输出的宠物月灵却能被很多种小怪破防。当然道士也有另一个长处就是有宠物，能挂机，甚至能从19级挂机到75级，号称最轻松职业。所以道士开荒需要有耐心，走位卡位重复召宠物，非常省药，是多开时最有力的后勤主管，带货小能手。</t>
  </si>
  <si>
    <t>王者布料</t>
  </si>
  <si>
    <t>道</t>
  </si>
  <si>
    <t>战</t>
  </si>
  <si>
    <t>法</t>
  </si>
  <si>
    <t xml:space="preserve">    手工装备的潜能激发，开词缀和凝晶石升星，建议sl保存读档，不想要的就退档重来，潜能石等不能保存的可以丢地上丢其他人物或移动仓库（乾坤石，混元石使用方法类似），搞到想要的效果却保持低唤醒次数。
    潜能石用来唤醒手工装备潜能的，不同装备有不同的潜能等级极限。不同的潜能石能唤醒潜能极限也不同，唤醒潜能等级随机，可能6号潜能石也只唤醒了1级2级潜能，所以需要多次尝试。比如枫木勋章，最大潜能等级只有4，你用5号6号潜能石也只能激发4级潜能，但是用2号3号潜能石只能激发2级3级潜能，一般不是最优选，浪费潜能次数，所以这时4号潜能石是最适合的。使用一次潜能石消耗一次唤醒次数。装备的潜能等级和潜能数据看攻略。
    天赋石，怪只出碎片和晶体，所以想开两词缀三甚至四五，就需要去比奇匠人合成更高级的天赋石。天赋石晶体直接出一词缀，需鉴定，最高级的璀璨的天赋石直接开五个词缀。鉴定出的词缀不合适，读档重来。使用一次天赋石消耗一次唤醒次数。合成看攻略。</t>
  </si>
  <si>
    <t>头</t>
  </si>
  <si>
    <t>预计</t>
  </si>
  <si>
    <t>天龙布料</t>
  </si>
  <si>
    <t>木材</t>
  </si>
  <si>
    <t>布料</t>
  </si>
  <si>
    <t>制造材料</t>
  </si>
  <si>
    <t>次数</t>
  </si>
  <si>
    <t xml:space="preserve">5 </t>
  </si>
  <si>
    <t>沃玛装备</t>
  </si>
  <si>
    <t>祖玛装备</t>
  </si>
  <si>
    <t xml:space="preserve">圣战   </t>
  </si>
  <si>
    <t>圣战</t>
  </si>
  <si>
    <t xml:space="preserve">王者战 </t>
  </si>
  <si>
    <t xml:space="preserve">魔龙 </t>
  </si>
  <si>
    <t>紫檀木</t>
  </si>
  <si>
    <t>天龙战</t>
  </si>
  <si>
    <t xml:space="preserve">天龙战 </t>
  </si>
  <si>
    <t>制作</t>
  </si>
  <si>
    <t>铜护符</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</si>
</sst>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
  </numFmts>
  <fonts count="33">
    <font>
      <sz val="11"/>
      <color theme="1"/>
      <name val="宋体"/>
      <charset val="134"/>
      <scheme val="minor"/>
    </font>
    <font>
      <b/>
      <sz val="11"/>
      <color theme="1"/>
      <name val="宋体"/>
      <charset val="134"/>
      <scheme val="minor"/>
    </font>
    <font>
      <sz val="11"/>
      <name val="宋体"/>
      <charset val="134"/>
      <scheme val="minor"/>
    </font>
    <font>
      <sz val="11"/>
      <color rgb="FFFF0000"/>
      <name val="宋体"/>
      <charset val="134"/>
      <scheme val="minor"/>
    </font>
    <font>
      <sz val="12"/>
      <color rgb="FF000000"/>
      <name val="宋体"/>
      <charset val="134"/>
    </font>
    <font>
      <sz val="10.5"/>
      <color rgb="FF0000FF"/>
      <name val="Times New Roman"/>
      <charset val="134"/>
    </font>
    <font>
      <sz val="10.5"/>
      <color rgb="FF0000FF"/>
      <name val="宋体"/>
      <charset val="134"/>
    </font>
    <font>
      <sz val="12"/>
      <color rgb="FF0000FF"/>
      <name val="宋体"/>
      <charset val="134"/>
    </font>
    <font>
      <sz val="10.5"/>
      <color rgb="FFFF00FF"/>
      <name val="宋体"/>
      <charset val="134"/>
    </font>
    <font>
      <sz val="12"/>
      <color rgb="FFFF00FF"/>
      <name val="宋体"/>
      <charset val="134"/>
    </font>
    <font>
      <sz val="72"/>
      <color theme="1"/>
      <name val="Arial"/>
      <charset val="134"/>
    </font>
    <font>
      <b/>
      <sz val="18"/>
      <color theme="1"/>
      <name val="宋体"/>
      <charset val="134"/>
      <scheme val="minor"/>
    </font>
    <font>
      <b/>
      <sz val="72"/>
      <color theme="1"/>
      <name val="微软雅黑"/>
      <charset val="134"/>
    </font>
    <font>
      <u/>
      <sz val="11"/>
      <color rgb="FF800080"/>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i/>
      <sz val="11"/>
      <color rgb="FF7F7F7F"/>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rgb="FFFFFFFF"/>
      <name val="宋体"/>
      <charset val="0"/>
      <scheme val="minor"/>
    </font>
    <font>
      <sz val="11"/>
      <color rgb="FF9C6500"/>
      <name val="宋体"/>
      <charset val="0"/>
      <scheme val="minor"/>
    </font>
    <font>
      <sz val="72"/>
      <color theme="1"/>
      <name val="宋体"/>
      <charset val="134"/>
    </font>
  </fonts>
  <fills count="4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s>
  <borders count="4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7" borderId="0" applyNumberFormat="0" applyBorder="0" applyAlignment="0" applyProtection="0">
      <alignment vertical="center"/>
    </xf>
    <xf numFmtId="0" fontId="21" fillId="21" borderId="3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8" borderId="0" applyNumberFormat="0" applyBorder="0" applyAlignment="0" applyProtection="0">
      <alignment vertical="center"/>
    </xf>
    <xf numFmtId="0" fontId="17" fillId="14" borderId="0" applyNumberFormat="0" applyBorder="0" applyAlignment="0" applyProtection="0">
      <alignment vertical="center"/>
    </xf>
    <xf numFmtId="43" fontId="0" fillId="0" borderId="0" applyFont="0" applyFill="0" applyBorder="0" applyAlignment="0" applyProtection="0">
      <alignment vertical="center"/>
    </xf>
    <xf numFmtId="0" fontId="14" fillId="23"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32" applyNumberFormat="0" applyFont="0" applyAlignment="0" applyProtection="0">
      <alignment vertical="center"/>
    </xf>
    <xf numFmtId="0" fontId="14" fillId="20" borderId="0" applyNumberFormat="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0" borderId="37" applyNumberFormat="0" applyFill="0" applyAlignment="0" applyProtection="0">
      <alignment vertical="center"/>
    </xf>
    <xf numFmtId="0" fontId="27" fillId="0" borderId="37" applyNumberFormat="0" applyFill="0" applyAlignment="0" applyProtection="0">
      <alignment vertical="center"/>
    </xf>
    <xf numFmtId="0" fontId="14" fillId="27" borderId="0" applyNumberFormat="0" applyBorder="0" applyAlignment="0" applyProtection="0">
      <alignment vertical="center"/>
    </xf>
    <xf numFmtId="0" fontId="19" fillId="0" borderId="35" applyNumberFormat="0" applyFill="0" applyAlignment="0" applyProtection="0">
      <alignment vertical="center"/>
    </xf>
    <xf numFmtId="0" fontId="14" fillId="26" borderId="0" applyNumberFormat="0" applyBorder="0" applyAlignment="0" applyProtection="0">
      <alignment vertical="center"/>
    </xf>
    <xf numFmtId="0" fontId="16" fillId="13" borderId="33" applyNumberFormat="0" applyAlignment="0" applyProtection="0">
      <alignment vertical="center"/>
    </xf>
    <xf numFmtId="0" fontId="18" fillId="13" borderId="34" applyNumberFormat="0" applyAlignment="0" applyProtection="0">
      <alignment vertical="center"/>
    </xf>
    <xf numFmtId="0" fontId="30" fillId="35" borderId="39" applyNumberFormat="0" applyAlignment="0" applyProtection="0">
      <alignment vertical="center"/>
    </xf>
    <xf numFmtId="0" fontId="15" fillId="12" borderId="0" applyNumberFormat="0" applyBorder="0" applyAlignment="0" applyProtection="0">
      <alignment vertical="center"/>
    </xf>
    <xf numFmtId="0" fontId="14" fillId="39" borderId="0" applyNumberFormat="0" applyBorder="0" applyAlignment="0" applyProtection="0">
      <alignment vertical="center"/>
    </xf>
    <xf numFmtId="0" fontId="22" fillId="0" borderId="36" applyNumberFormat="0" applyFill="0" applyAlignment="0" applyProtection="0">
      <alignment vertical="center"/>
    </xf>
    <xf numFmtId="0" fontId="26" fillId="0" borderId="38" applyNumberFormat="0" applyFill="0" applyAlignment="0" applyProtection="0">
      <alignment vertical="center"/>
    </xf>
    <xf numFmtId="0" fontId="29" fillId="34" borderId="0" applyNumberFormat="0" applyBorder="0" applyAlignment="0" applyProtection="0">
      <alignment vertical="center"/>
    </xf>
    <xf numFmtId="0" fontId="31" fillId="38" borderId="0" applyNumberFormat="0" applyBorder="0" applyAlignment="0" applyProtection="0">
      <alignment vertical="center"/>
    </xf>
    <xf numFmtId="0" fontId="15" fillId="30" borderId="0" applyNumberFormat="0" applyBorder="0" applyAlignment="0" applyProtection="0">
      <alignment vertical="center"/>
    </xf>
    <xf numFmtId="0" fontId="14" fillId="29" borderId="0" applyNumberFormat="0" applyBorder="0" applyAlignment="0" applyProtection="0">
      <alignment vertical="center"/>
    </xf>
    <xf numFmtId="0" fontId="15" fillId="25" borderId="0" applyNumberFormat="0" applyBorder="0" applyAlignment="0" applyProtection="0">
      <alignment vertical="center"/>
    </xf>
    <xf numFmtId="0" fontId="15" fillId="16" borderId="0" applyNumberFormat="0" applyBorder="0" applyAlignment="0" applyProtection="0">
      <alignment vertical="center"/>
    </xf>
    <xf numFmtId="0" fontId="15" fillId="24" borderId="0" applyNumberFormat="0" applyBorder="0" applyAlignment="0" applyProtection="0">
      <alignment vertical="center"/>
    </xf>
    <xf numFmtId="0" fontId="15" fillId="19" borderId="0" applyNumberFormat="0" applyBorder="0" applyAlignment="0" applyProtection="0">
      <alignment vertical="center"/>
    </xf>
    <xf numFmtId="0" fontId="14" fillId="37" borderId="0" applyNumberFormat="0" applyBorder="0" applyAlignment="0" applyProtection="0">
      <alignment vertical="center"/>
    </xf>
    <xf numFmtId="0" fontId="14" fillId="11" borderId="0" applyNumberFormat="0" applyBorder="0" applyAlignment="0" applyProtection="0">
      <alignment vertical="center"/>
    </xf>
    <xf numFmtId="0" fontId="15" fillId="36" borderId="0" applyNumberFormat="0" applyBorder="0" applyAlignment="0" applyProtection="0">
      <alignment vertical="center"/>
    </xf>
    <xf numFmtId="0" fontId="15" fillId="15" borderId="0" applyNumberFormat="0" applyBorder="0" applyAlignment="0" applyProtection="0">
      <alignment vertical="center"/>
    </xf>
    <xf numFmtId="0" fontId="14" fillId="10" borderId="0" applyNumberFormat="0" applyBorder="0" applyAlignment="0" applyProtection="0">
      <alignment vertical="center"/>
    </xf>
    <xf numFmtId="0" fontId="15" fillId="33" borderId="0" applyNumberFormat="0" applyBorder="0" applyAlignment="0" applyProtection="0">
      <alignment vertical="center"/>
    </xf>
    <xf numFmtId="0" fontId="14" fillId="32" borderId="0" applyNumberFormat="0" applyBorder="0" applyAlignment="0" applyProtection="0">
      <alignment vertical="center"/>
    </xf>
    <xf numFmtId="0" fontId="14" fillId="22" borderId="0" applyNumberFormat="0" applyBorder="0" applyAlignment="0" applyProtection="0">
      <alignment vertical="center"/>
    </xf>
    <xf numFmtId="0" fontId="15" fillId="28" borderId="0" applyNumberFormat="0" applyBorder="0" applyAlignment="0" applyProtection="0">
      <alignment vertical="center"/>
    </xf>
    <xf numFmtId="0" fontId="14" fillId="31" borderId="0" applyNumberFormat="0" applyBorder="0" applyAlignment="0" applyProtection="0">
      <alignment vertical="center"/>
    </xf>
  </cellStyleXfs>
  <cellXfs count="201">
    <xf numFmtId="0" fontId="0" fillId="0" borderId="0" xfId="0">
      <alignment vertical="center"/>
    </xf>
    <xf numFmtId="0" fontId="0" fillId="0" borderId="0" xfId="0" applyAlignment="1">
      <alignment vertical="center"/>
    </xf>
    <xf numFmtId="49" fontId="0" fillId="0" borderId="0" xfId="0" applyNumberFormat="1">
      <alignment vertical="center"/>
    </xf>
    <xf numFmtId="49" fontId="0" fillId="0" borderId="0" xfId="0" applyNumberFormat="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49" fontId="1" fillId="2" borderId="0" xfId="0" applyNumberFormat="1" applyFont="1" applyFill="1" applyAlignment="1">
      <alignment horizontal="center" vertical="center"/>
    </xf>
    <xf numFmtId="49" fontId="2" fillId="0" borderId="0" xfId="0" applyNumberFormat="1" applyFont="1">
      <alignment vertical="center"/>
    </xf>
    <xf numFmtId="49" fontId="0" fillId="0" borderId="0" xfId="0" applyNumberFormat="1" applyAlignment="1">
      <alignment vertical="center"/>
    </xf>
    <xf numFmtId="49" fontId="0" fillId="0" borderId="0" xfId="0" applyNumberFormat="1" applyAlignment="1">
      <alignment horizontal="left" vertical="center" wrapText="1"/>
    </xf>
    <xf numFmtId="49" fontId="0" fillId="0" borderId="0" xfId="0" applyNumberFormat="1" applyAlignment="1">
      <alignment horizontal="left" vertical="center"/>
    </xf>
    <xf numFmtId="0" fontId="0" fillId="2" borderId="0" xfId="0" applyFill="1">
      <alignment vertical="center"/>
    </xf>
    <xf numFmtId="0" fontId="3"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1" xfId="0" applyBorder="1" applyAlignment="1">
      <alignment horizontal="left" vertical="center"/>
    </xf>
    <xf numFmtId="0" fontId="0" fillId="0" borderId="3" xfId="0" applyBorder="1" applyAlignment="1">
      <alignment horizontal="left" vertical="center"/>
    </xf>
    <xf numFmtId="0" fontId="0" fillId="0" borderId="4" xfId="0" applyBorder="1">
      <alignmen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lignment vertical="center"/>
    </xf>
    <xf numFmtId="0" fontId="0" fillId="0" borderId="0" xfId="0" applyAlignment="1">
      <alignment horizontal="left" vertical="center"/>
    </xf>
    <xf numFmtId="0" fontId="0" fillId="0" borderId="0" xfId="0" applyFill="1" applyAlignment="1">
      <alignment horizontal="center" vertical="center"/>
    </xf>
    <xf numFmtId="0" fontId="0" fillId="2" borderId="2" xfId="0" applyFill="1" applyBorder="1">
      <alignment vertical="center"/>
    </xf>
    <xf numFmtId="0" fontId="3" fillId="0" borderId="2" xfId="0" applyFont="1" applyBorder="1">
      <alignment vertical="center"/>
    </xf>
    <xf numFmtId="0" fontId="3" fillId="0" borderId="8" xfId="0" applyFont="1" applyBorder="1">
      <alignment vertical="center"/>
    </xf>
    <xf numFmtId="0" fontId="0" fillId="2" borderId="4" xfId="0" applyFill="1" applyBorder="1">
      <alignment vertical="center"/>
    </xf>
    <xf numFmtId="0" fontId="3" fillId="0" borderId="4" xfId="0" applyFont="1" applyBorder="1">
      <alignment vertical="center"/>
    </xf>
    <xf numFmtId="0" fontId="3" fillId="0" borderId="9" xfId="0" applyFont="1" applyBorder="1">
      <alignment vertical="center"/>
    </xf>
    <xf numFmtId="0" fontId="3" fillId="0" borderId="10" xfId="0" applyFont="1" applyBorder="1">
      <alignment vertical="center"/>
    </xf>
    <xf numFmtId="0" fontId="0" fillId="2" borderId="7" xfId="0" applyFill="1" applyBorder="1">
      <alignment vertical="center"/>
    </xf>
    <xf numFmtId="0" fontId="3" fillId="0" borderId="7" xfId="0" applyFont="1" applyBorder="1">
      <alignment vertical="center"/>
    </xf>
    <xf numFmtId="0" fontId="3" fillId="0" borderId="11" xfId="0" applyFont="1" applyBorder="1">
      <alignment vertical="center"/>
    </xf>
    <xf numFmtId="0" fontId="0" fillId="0" borderId="0" xfId="0" applyBorder="1">
      <alignmen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0" fillId="2" borderId="0" xfId="0" applyFill="1" applyBorder="1">
      <alignment vertical="center"/>
    </xf>
    <xf numFmtId="0" fontId="3" fillId="0" borderId="0" xfId="0" applyFont="1" applyBorder="1">
      <alignment vertical="center"/>
    </xf>
    <xf numFmtId="0" fontId="0" fillId="2" borderId="2" xfId="0" applyFill="1" applyBorder="1" applyAlignment="1">
      <alignment horizontal="left" vertical="center"/>
    </xf>
    <xf numFmtId="0" fontId="3" fillId="0" borderId="2" xfId="0" applyFont="1" applyBorder="1" applyAlignment="1">
      <alignment horizontal="left" vertical="center"/>
    </xf>
    <xf numFmtId="0" fontId="3" fillId="0" borderId="8" xfId="0" applyFont="1" applyBorder="1" applyAlignment="1">
      <alignment horizontal="left" vertical="center"/>
    </xf>
    <xf numFmtId="0" fontId="0" fillId="2" borderId="4" xfId="0" applyFill="1" applyBorder="1" applyAlignment="1">
      <alignment horizontal="left" vertical="center"/>
    </xf>
    <xf numFmtId="0" fontId="3" fillId="0" borderId="4" xfId="0" applyFont="1" applyBorder="1" applyAlignment="1">
      <alignment horizontal="left" vertical="center"/>
    </xf>
    <xf numFmtId="0" fontId="3" fillId="0" borderId="9" xfId="0" applyFont="1" applyBorder="1" applyAlignment="1">
      <alignment horizontal="left" vertical="center"/>
    </xf>
    <xf numFmtId="0" fontId="0" fillId="2" borderId="7" xfId="0" applyFill="1" applyBorder="1" applyAlignment="1">
      <alignment horizontal="left" vertical="center"/>
    </xf>
    <xf numFmtId="0" fontId="3" fillId="0" borderId="7" xfId="0" applyFont="1" applyBorder="1" applyAlignment="1">
      <alignment horizontal="left" vertical="center"/>
    </xf>
    <xf numFmtId="0" fontId="3" fillId="0" borderId="11" xfId="0" applyFont="1" applyBorder="1" applyAlignment="1">
      <alignment horizontal="left" vertical="center"/>
    </xf>
    <xf numFmtId="0" fontId="0" fillId="3" borderId="0" xfId="0" applyFill="1" applyAlignment="1">
      <alignment horizontal="center" vertical="center"/>
    </xf>
    <xf numFmtId="0" fontId="0" fillId="3" borderId="0" xfId="0" applyFill="1">
      <alignment vertical="center"/>
    </xf>
    <xf numFmtId="0" fontId="0" fillId="4" borderId="0" xfId="0" applyFill="1">
      <alignment vertical="center"/>
    </xf>
    <xf numFmtId="49" fontId="0" fillId="4" borderId="0" xfId="0" applyNumberFormat="1" applyFill="1">
      <alignment vertical="center"/>
    </xf>
    <xf numFmtId="49" fontId="0" fillId="0" borderId="0" xfId="0" applyNumberFormat="1" applyAlignment="1">
      <alignment horizontal="center" vertical="center"/>
    </xf>
    <xf numFmtId="0" fontId="0" fillId="0" borderId="0" xfId="0" applyFill="1">
      <alignment vertical="center"/>
    </xf>
    <xf numFmtId="49" fontId="0" fillId="0" borderId="0" xfId="0" applyNumberFormat="1" applyFill="1">
      <alignment vertical="center"/>
    </xf>
    <xf numFmtId="49" fontId="0" fillId="3" borderId="0" xfId="0" applyNumberFormat="1" applyFill="1" applyAlignment="1">
      <alignment horizontal="center" vertical="center"/>
    </xf>
    <xf numFmtId="49" fontId="0" fillId="3" borderId="0" xfId="0" applyNumberFormat="1" applyFill="1">
      <alignment vertical="center"/>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0" fillId="0" borderId="0" xfId="0" applyFill="1" applyAlignment="1">
      <alignment horizontal="center" vertical="center"/>
    </xf>
    <xf numFmtId="0" fontId="0" fillId="0" borderId="0" xfId="0" applyFill="1">
      <alignment vertical="center"/>
    </xf>
    <xf numFmtId="49" fontId="0" fillId="0" borderId="0" xfId="0" applyNumberFormat="1" applyFill="1">
      <alignment vertical="center"/>
    </xf>
    <xf numFmtId="0" fontId="5"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7" fillId="0" borderId="14" xfId="0" applyFont="1" applyBorder="1" applyAlignment="1">
      <alignment horizontal="justify" vertical="top" wrapText="1"/>
    </xf>
    <xf numFmtId="0" fontId="7" fillId="0" borderId="8" xfId="0" applyFont="1" applyBorder="1" applyAlignment="1">
      <alignment horizontal="justify" vertical="top" wrapText="1"/>
    </xf>
    <xf numFmtId="0" fontId="7" fillId="0" borderId="13" xfId="0" applyFont="1" applyBorder="1" applyAlignment="1">
      <alignment horizontal="justify" vertical="top" wrapText="1"/>
    </xf>
    <xf numFmtId="0" fontId="7" fillId="0" borderId="10" xfId="0" applyFont="1" applyBorder="1" applyAlignment="1">
      <alignment horizontal="justify" vertical="top" wrapText="1"/>
    </xf>
    <xf numFmtId="0" fontId="7" fillId="0" borderId="12" xfId="0" applyFont="1" applyBorder="1" applyAlignment="1">
      <alignment horizontal="justify" vertical="top" wrapText="1"/>
    </xf>
    <xf numFmtId="0" fontId="7" fillId="0" borderId="11" xfId="0" applyFont="1" applyBorder="1" applyAlignment="1">
      <alignment horizontal="justify" vertical="top" wrapText="1"/>
    </xf>
    <xf numFmtId="0" fontId="9" fillId="0" borderId="10" xfId="0" applyFont="1" applyBorder="1" applyAlignment="1">
      <alignment horizontal="justify" vertical="top" wrapText="1"/>
    </xf>
    <xf numFmtId="0" fontId="9" fillId="0" borderId="11" xfId="0" applyFont="1" applyBorder="1" applyAlignment="1">
      <alignment horizontal="justify" vertical="top" wrapText="1"/>
    </xf>
    <xf numFmtId="0" fontId="0" fillId="0" borderId="0" xfId="0" applyAlignment="1">
      <alignment horizontal="left"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xf>
    <xf numFmtId="49" fontId="0" fillId="4" borderId="0" xfId="0" applyNumberFormat="1" applyFill="1" applyAlignment="1">
      <alignment horizontal="left" vertical="center"/>
    </xf>
    <xf numFmtId="0" fontId="0" fillId="4" borderId="0" xfId="0" applyFill="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49" fontId="0" fillId="0" borderId="0" xfId="0" applyNumberFormat="1" applyAlignment="1">
      <alignment vertical="center" wrapText="1"/>
    </xf>
    <xf numFmtId="0" fontId="0" fillId="0" borderId="15" xfId="0" applyBorder="1" applyAlignment="1">
      <alignment horizontal="center" vertical="center"/>
    </xf>
    <xf numFmtId="0" fontId="0" fillId="0" borderId="15" xfId="0" applyBorder="1">
      <alignment vertical="center"/>
    </xf>
    <xf numFmtId="49" fontId="0" fillId="0" borderId="15" xfId="0" applyNumberFormat="1" applyBorder="1">
      <alignment vertical="center"/>
    </xf>
    <xf numFmtId="49" fontId="0" fillId="2" borderId="15" xfId="0" applyNumberFormat="1" applyFill="1" applyBorder="1">
      <alignment vertical="center"/>
    </xf>
    <xf numFmtId="0" fontId="0" fillId="2" borderId="15" xfId="0" applyFill="1" applyBorder="1">
      <alignment vertical="center"/>
    </xf>
    <xf numFmtId="0" fontId="0" fillId="0" borderId="15" xfId="0" applyNumberFormat="1" applyBorder="1">
      <alignment vertical="center"/>
    </xf>
    <xf numFmtId="0" fontId="0" fillId="0" borderId="0" xfId="0" applyNumberFormat="1">
      <alignment vertical="center"/>
    </xf>
    <xf numFmtId="0" fontId="0" fillId="0" borderId="0" xfId="0" applyAlignment="1">
      <alignment vertical="center" wrapText="1"/>
    </xf>
    <xf numFmtId="0" fontId="0" fillId="0" borderId="0" xfId="0" applyAlignment="1">
      <alignment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lignment vertical="center"/>
    </xf>
    <xf numFmtId="0" fontId="11" fillId="0" borderId="0" xfId="0" applyFont="1" applyAlignment="1">
      <alignment horizontal="center" vertical="center" wrapText="1"/>
    </xf>
    <xf numFmtId="0" fontId="11" fillId="0" borderId="0" xfId="0" applyFont="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5" xfId="0" applyBorder="1">
      <alignment vertical="center"/>
    </xf>
    <xf numFmtId="176" fontId="0" fillId="0" borderId="15" xfId="0" applyNumberFormat="1" applyBorder="1">
      <alignment vertical="center"/>
    </xf>
    <xf numFmtId="176" fontId="0" fillId="0" borderId="15" xfId="0" applyNumberFormat="1" applyBorder="1" applyAlignment="1">
      <alignment horizontal="right" vertical="center"/>
    </xf>
    <xf numFmtId="0" fontId="0" fillId="3" borderId="18" xfId="0" applyFill="1" applyBorder="1">
      <alignment vertical="center"/>
    </xf>
    <xf numFmtId="0" fontId="0" fillId="2" borderId="18" xfId="0" applyFill="1" applyBorder="1">
      <alignment vertical="center"/>
    </xf>
    <xf numFmtId="0" fontId="0" fillId="6" borderId="18" xfId="0" applyFill="1" applyBorder="1">
      <alignment vertical="center"/>
    </xf>
    <xf numFmtId="0" fontId="0" fillId="7" borderId="18" xfId="0" applyFill="1" applyBorder="1">
      <alignment vertical="center"/>
    </xf>
    <xf numFmtId="0" fontId="0" fillId="8" borderId="19" xfId="0" applyFill="1" applyBorder="1">
      <alignment vertical="center"/>
    </xf>
    <xf numFmtId="176" fontId="0" fillId="0" borderId="20" xfId="0" applyNumberFormat="1" applyBorder="1">
      <alignment vertical="center"/>
    </xf>
    <xf numFmtId="58" fontId="0" fillId="0" borderId="0" xfId="0" applyNumberFormat="1">
      <alignment vertical="center"/>
    </xf>
    <xf numFmtId="0" fontId="0" fillId="0" borderId="0" xfId="0" applyAlignment="1">
      <alignment vertical="center" wrapText="1"/>
    </xf>
    <xf numFmtId="0" fontId="3" fillId="0" borderId="0" xfId="0" applyFont="1" applyAlignment="1">
      <alignment horizontal="left" vertical="center"/>
    </xf>
    <xf numFmtId="0" fontId="3" fillId="0" borderId="0" xfId="0" applyFont="1" applyAlignment="1">
      <alignment vertical="center" wrapText="1"/>
    </xf>
    <xf numFmtId="176" fontId="0" fillId="0" borderId="0" xfId="0" applyNumberFormat="1">
      <alignment vertical="center"/>
    </xf>
    <xf numFmtId="0" fontId="0" fillId="2" borderId="14" xfId="0" applyFill="1" applyBorder="1">
      <alignment vertical="center"/>
    </xf>
    <xf numFmtId="176" fontId="0" fillId="2" borderId="14" xfId="0" applyNumberFormat="1" applyFill="1" applyBorder="1" applyAlignment="1">
      <alignment horizontal="center" vertical="center"/>
    </xf>
    <xf numFmtId="0" fontId="0" fillId="2" borderId="14" xfId="0" applyFill="1" applyBorder="1" applyAlignment="1">
      <alignment horizontal="center" vertical="center"/>
    </xf>
    <xf numFmtId="0" fontId="0" fillId="0" borderId="21" xfId="0" applyBorder="1">
      <alignment vertical="center"/>
    </xf>
    <xf numFmtId="176" fontId="0" fillId="0" borderId="21" xfId="0" applyNumberFormat="1" applyBorder="1" applyAlignment="1">
      <alignment horizontal="left" vertical="center"/>
    </xf>
    <xf numFmtId="0" fontId="0" fillId="0" borderId="22" xfId="0" applyBorder="1">
      <alignment vertical="center"/>
    </xf>
    <xf numFmtId="176" fontId="0" fillId="0" borderId="22" xfId="0" applyNumberFormat="1" applyBorder="1" applyAlignment="1">
      <alignment horizontal="left" vertical="center"/>
    </xf>
    <xf numFmtId="0" fontId="2" fillId="4" borderId="22" xfId="0" applyFont="1" applyFill="1" applyBorder="1">
      <alignment vertical="center"/>
    </xf>
    <xf numFmtId="0" fontId="0" fillId="3" borderId="22" xfId="0" applyFill="1" applyBorder="1">
      <alignment vertical="center"/>
    </xf>
    <xf numFmtId="0" fontId="0" fillId="2" borderId="22" xfId="0" applyFill="1" applyBorder="1">
      <alignment vertical="center"/>
    </xf>
    <xf numFmtId="0" fontId="0" fillId="6" borderId="22" xfId="0" applyFill="1" applyBorder="1">
      <alignment vertical="center"/>
    </xf>
    <xf numFmtId="176" fontId="0" fillId="2" borderId="0" xfId="0" applyNumberFormat="1" applyFill="1" applyAlignment="1">
      <alignment horizontal="center" vertical="center"/>
    </xf>
    <xf numFmtId="176" fontId="0" fillId="0" borderId="0" xfId="0" applyNumberFormat="1" applyAlignment="1">
      <alignment horizontal="lef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176" fontId="0" fillId="2" borderId="15" xfId="0" applyNumberFormat="1" applyFill="1" applyBorder="1">
      <alignment vertical="center"/>
    </xf>
    <xf numFmtId="176" fontId="0" fillId="0" borderId="15" xfId="0" applyNumberFormat="1" applyBorder="1" applyAlignment="1">
      <alignment horizontal="left" vertical="center"/>
    </xf>
    <xf numFmtId="0" fontId="2" fillId="4" borderId="18" xfId="0" applyFont="1" applyFill="1" applyBorder="1">
      <alignment vertical="center"/>
    </xf>
    <xf numFmtId="0" fontId="0" fillId="0" borderId="15" xfId="0" applyBorder="1" applyAlignment="1">
      <alignment horizontal="left" vertical="center"/>
    </xf>
    <xf numFmtId="0" fontId="0" fillId="0" borderId="20" xfId="0" applyBorder="1" applyAlignment="1">
      <alignment horizontal="left" vertical="center"/>
    </xf>
    <xf numFmtId="0" fontId="0" fillId="0" borderId="23" xfId="0" applyBorder="1" applyAlignment="1">
      <alignment horizontal="center" vertical="center"/>
    </xf>
    <xf numFmtId="0" fontId="0" fillId="0" borderId="24" xfId="0" applyBorder="1" applyAlignment="1">
      <alignment horizontal="center" vertical="center"/>
    </xf>
    <xf numFmtId="176" fontId="0" fillId="0" borderId="24" xfId="0" applyNumberFormat="1"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7" borderId="22" xfId="0" applyFill="1" applyBorder="1">
      <alignment vertical="center"/>
    </xf>
    <xf numFmtId="0" fontId="0" fillId="8" borderId="26" xfId="0" applyFill="1" applyBorder="1">
      <alignment vertical="center"/>
    </xf>
    <xf numFmtId="176" fontId="0" fillId="0" borderId="26" xfId="0" applyNumberFormat="1" applyBorder="1" applyAlignment="1">
      <alignment horizontal="left" vertical="center"/>
    </xf>
    <xf numFmtId="176" fontId="0" fillId="0" borderId="0" xfId="0" applyNumberFormat="1" applyAlignment="1">
      <alignment vertical="center"/>
    </xf>
    <xf numFmtId="176" fontId="0" fillId="0" borderId="0" xfId="0" applyNumberFormat="1" applyAlignment="1">
      <alignment horizontal="lef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49" fontId="0" fillId="2" borderId="16" xfId="0" applyNumberFormat="1" applyFill="1" applyBorder="1" applyAlignment="1">
      <alignment horizontal="center" vertical="center"/>
    </xf>
    <xf numFmtId="49" fontId="0" fillId="2" borderId="17" xfId="0" applyNumberFormat="1" applyFill="1" applyBorder="1" applyAlignment="1">
      <alignment horizontal="center" vertical="center"/>
    </xf>
    <xf numFmtId="49" fontId="0" fillId="2" borderId="23" xfId="0" applyNumberFormat="1" applyFill="1" applyBorder="1" applyAlignment="1">
      <alignment horizontal="center" vertical="center"/>
    </xf>
    <xf numFmtId="49" fontId="0" fillId="0" borderId="18" xfId="0" applyNumberFormat="1" applyBorder="1" applyAlignment="1">
      <alignment horizontal="left" vertical="center"/>
    </xf>
    <xf numFmtId="0" fontId="0" fillId="0" borderId="15" xfId="0" applyNumberFormat="1" applyBorder="1" applyAlignment="1">
      <alignment horizontal="left" vertical="center"/>
    </xf>
    <xf numFmtId="49" fontId="0" fillId="0" borderId="19" xfId="0" applyNumberFormat="1" applyBorder="1" applyAlignment="1">
      <alignment horizontal="left" vertical="center"/>
    </xf>
    <xf numFmtId="0" fontId="0" fillId="0" borderId="20" xfId="0" applyNumberFormat="1" applyBorder="1" applyAlignment="1">
      <alignment horizontal="left" vertical="center"/>
    </xf>
    <xf numFmtId="176" fontId="0" fillId="0" borderId="20" xfId="0" applyNumberFormat="1" applyBorder="1" applyAlignment="1">
      <alignment horizontal="left" vertical="center"/>
    </xf>
    <xf numFmtId="0" fontId="0" fillId="0" borderId="20" xfId="0" applyBorder="1">
      <alignment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49" fontId="0" fillId="2" borderId="18" xfId="0" applyNumberFormat="1" applyFill="1" applyBorder="1" applyAlignment="1">
      <alignment horizontal="center" vertical="center"/>
    </xf>
    <xf numFmtId="49" fontId="0" fillId="2" borderId="15" xfId="0" applyNumberFormat="1" applyFill="1" applyBorder="1" applyAlignment="1">
      <alignment horizontal="center" vertical="center"/>
    </xf>
    <xf numFmtId="0" fontId="0" fillId="2" borderId="15" xfId="0" applyFill="1" applyBorder="1">
      <alignment vertical="center"/>
    </xf>
    <xf numFmtId="0" fontId="0" fillId="2" borderId="24" xfId="0" applyFill="1" applyBorder="1">
      <alignment vertical="center"/>
    </xf>
    <xf numFmtId="0" fontId="0" fillId="0" borderId="24" xfId="0" applyBorder="1">
      <alignment vertical="center"/>
    </xf>
    <xf numFmtId="0" fontId="0" fillId="0" borderId="25" xfId="0" applyBorder="1">
      <alignment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vertical="center"/>
    </xf>
    <xf numFmtId="0" fontId="0" fillId="2" borderId="15" xfId="0" applyFill="1" applyBorder="1" applyAlignment="1">
      <alignment horizontal="center" vertical="center"/>
    </xf>
    <xf numFmtId="0" fontId="0" fillId="2" borderId="24" xfId="0" applyFill="1" applyBorder="1" applyAlignment="1">
      <alignment horizontal="center" vertical="center"/>
    </xf>
    <xf numFmtId="49" fontId="0" fillId="2" borderId="30" xfId="0" applyNumberFormat="1" applyFill="1" applyBorder="1" applyAlignment="1">
      <alignment horizontal="center" vertical="center"/>
    </xf>
    <xf numFmtId="0" fontId="0" fillId="2" borderId="31" xfId="0" applyFill="1" applyBorder="1" applyAlignment="1">
      <alignment horizontal="center" vertical="center"/>
    </xf>
    <xf numFmtId="49" fontId="0" fillId="0" borderId="15" xfId="0" applyNumberFormat="1" applyBorder="1" applyAlignment="1">
      <alignment horizontal="left" vertical="center"/>
    </xf>
    <xf numFmtId="0" fontId="0" fillId="2" borderId="17" xfId="0" applyFill="1" applyBorder="1">
      <alignment vertical="center"/>
    </xf>
    <xf numFmtId="0" fontId="0" fillId="2" borderId="23" xfId="0" applyFill="1" applyBorder="1">
      <alignment vertical="center"/>
    </xf>
    <xf numFmtId="49" fontId="0" fillId="2" borderId="18" xfId="0" applyNumberFormat="1" applyFill="1" applyBorder="1" applyAlignment="1">
      <alignment horizontal="left" vertical="center"/>
    </xf>
    <xf numFmtId="0" fontId="0" fillId="0" borderId="15" xfId="0" applyFill="1" applyBorder="1">
      <alignment vertical="center"/>
    </xf>
    <xf numFmtId="0" fontId="0" fillId="0" borderId="24" xfId="0" applyFill="1" applyBorder="1">
      <alignment vertical="center"/>
    </xf>
    <xf numFmtId="49" fontId="0" fillId="2" borderId="19" xfId="0" applyNumberFormat="1" applyFill="1" applyBorder="1" applyAlignment="1">
      <alignment horizontal="left" vertical="center"/>
    </xf>
    <xf numFmtId="0" fontId="0" fillId="0" borderId="20" xfId="0" applyFill="1" applyBorder="1">
      <alignment vertical="center"/>
    </xf>
    <xf numFmtId="0" fontId="0" fillId="0" borderId="25" xfId="0" applyFill="1" applyBorder="1">
      <alignment vertical="center"/>
    </xf>
    <xf numFmtId="0" fontId="1" fillId="3" borderId="0" xfId="0" applyFont="1" applyFill="1" applyAlignment="1">
      <alignment horizontal="center" vertical="center"/>
    </xf>
    <xf numFmtId="0" fontId="12" fillId="0" borderId="0" xfId="0" applyFont="1" applyAlignment="1">
      <alignment horizontal="center" vertical="center" wrapText="1"/>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"5次"</c:f>
              <c:strCache>
                <c:ptCount val="1"/>
                <c:pt idx="0">
                  <c:v>5次</c:v>
                </c:pt>
              </c:strCache>
            </c:strRef>
          </c:tx>
          <c:spPr>
            <a:ln w="28575" cap="rnd">
              <a:solidFill>
                <a:schemeClr val="accent1"/>
              </a:solidFill>
              <a:round/>
            </a:ln>
            <a:effectLst/>
          </c:spPr>
          <c:marker>
            <c:symbol val="none"/>
          </c:marker>
          <c:dLbls>
            <c:delete val="1"/>
          </c:dLbls>
          <c:val>
            <c:numRef>
              <c:f>攻速!$C$144:$C$155</c:f>
              <c:numCache>
                <c:formatCode>General</c:formatCode>
                <c:ptCount val="12"/>
                <c:pt idx="0">
                  <c:v>10.1111176378446</c:v>
                </c:pt>
                <c:pt idx="1">
                  <c:v>9.74248652291104</c:v>
                </c:pt>
                <c:pt idx="2">
                  <c:v>9.21685386273209</c:v>
                </c:pt>
                <c:pt idx="3">
                  <c:v>8.8347572815534</c:v>
                </c:pt>
                <c:pt idx="4">
                  <c:v>0</c:v>
                </c:pt>
                <c:pt idx="5">
                  <c:v>0</c:v>
                </c:pt>
                <c:pt idx="6">
                  <c:v>0</c:v>
                </c:pt>
                <c:pt idx="7">
                  <c:v>0</c:v>
                </c:pt>
                <c:pt idx="8">
                  <c:v>0</c:v>
                </c:pt>
                <c:pt idx="9">
                  <c:v>0</c:v>
                </c:pt>
                <c:pt idx="10">
                  <c:v>0</c:v>
                </c:pt>
                <c:pt idx="11">
                  <c:v>0</c:v>
                </c:pt>
              </c:numCache>
            </c:numRef>
          </c:val>
          <c:smooth val="0"/>
        </c:ser>
        <c:ser>
          <c:idx val="1"/>
          <c:order val="1"/>
          <c:tx>
            <c:strRef>
              <c:f>"10次"</c:f>
              <c:strCache>
                <c:ptCount val="1"/>
                <c:pt idx="0">
                  <c:v>10次</c:v>
                </c:pt>
              </c:strCache>
            </c:strRef>
          </c:tx>
          <c:spPr>
            <a:ln w="28575" cap="rnd">
              <a:solidFill>
                <a:schemeClr val="accent2"/>
              </a:solidFill>
              <a:round/>
            </a:ln>
            <a:effectLst/>
          </c:spPr>
          <c:marker>
            <c:symbol val="none"/>
          </c:marker>
          <c:dLbls>
            <c:delete val="1"/>
          </c:dLbls>
          <c:val>
            <c:numRef>
              <c:f>攻速!$D$144:$D$155</c:f>
              <c:numCache>
                <c:formatCode>General</c:formatCode>
                <c:ptCount val="12"/>
                <c:pt idx="0">
                  <c:v>20.2222352756893</c:v>
                </c:pt>
                <c:pt idx="1">
                  <c:v>19.4849730458221</c:v>
                </c:pt>
                <c:pt idx="2">
                  <c:v>18.4337077254642</c:v>
                </c:pt>
                <c:pt idx="3">
                  <c:v>17.6695145631068</c:v>
                </c:pt>
                <c:pt idx="4">
                  <c:v>0</c:v>
                </c:pt>
                <c:pt idx="5">
                  <c:v>0</c:v>
                </c:pt>
                <c:pt idx="6">
                  <c:v>0</c:v>
                </c:pt>
                <c:pt idx="7">
                  <c:v>0</c:v>
                </c:pt>
                <c:pt idx="8">
                  <c:v>0</c:v>
                </c:pt>
                <c:pt idx="9">
                  <c:v>0</c:v>
                </c:pt>
                <c:pt idx="10">
                  <c:v>0</c:v>
                </c:pt>
                <c:pt idx="11">
                  <c:v>0</c:v>
                </c:pt>
              </c:numCache>
            </c:numRef>
          </c:val>
          <c:smooth val="0"/>
        </c:ser>
        <c:ser>
          <c:idx val="2"/>
          <c:order val="2"/>
          <c:tx>
            <c:strRef>
              <c:f>"15次"</c:f>
              <c:strCache>
                <c:ptCount val="1"/>
                <c:pt idx="0">
                  <c:v>15次</c:v>
                </c:pt>
              </c:strCache>
            </c:strRef>
          </c:tx>
          <c:spPr>
            <a:ln w="28575" cap="rnd">
              <a:solidFill>
                <a:schemeClr val="accent3"/>
              </a:solidFill>
              <a:round/>
            </a:ln>
            <a:effectLst/>
          </c:spPr>
          <c:marker>
            <c:symbol val="none"/>
          </c:marker>
          <c:dLbls>
            <c:delete val="1"/>
          </c:dLbls>
          <c:val>
            <c:numRef>
              <c:f>攻速!$E$144:$E$155</c:f>
              <c:numCache>
                <c:formatCode>General</c:formatCode>
                <c:ptCount val="12"/>
                <c:pt idx="0">
                  <c:v>30.3333529135339</c:v>
                </c:pt>
                <c:pt idx="1">
                  <c:v>29.2274595687331</c:v>
                </c:pt>
                <c:pt idx="2">
                  <c:v>27.6505615881963</c:v>
                </c:pt>
                <c:pt idx="3">
                  <c:v>26.5042718446602</c:v>
                </c:pt>
                <c:pt idx="4">
                  <c:v>0</c:v>
                </c:pt>
                <c:pt idx="5">
                  <c:v>0</c:v>
                </c:pt>
                <c:pt idx="6">
                  <c:v>0</c:v>
                </c:pt>
                <c:pt idx="7">
                  <c:v>0</c:v>
                </c:pt>
                <c:pt idx="8">
                  <c:v>0</c:v>
                </c:pt>
                <c:pt idx="9">
                  <c:v>0</c:v>
                </c:pt>
                <c:pt idx="10">
                  <c:v>0</c:v>
                </c:pt>
                <c:pt idx="11">
                  <c:v>0</c:v>
                </c:pt>
              </c:numCache>
            </c:numRef>
          </c:val>
          <c:smooth val="0"/>
        </c:ser>
        <c:ser>
          <c:idx val="3"/>
          <c:order val="3"/>
          <c:tx>
            <c:strRef>
              <c:f>"20次"</c:f>
              <c:strCache>
                <c:ptCount val="1"/>
                <c:pt idx="0">
                  <c:v>20次</c:v>
                </c:pt>
              </c:strCache>
            </c:strRef>
          </c:tx>
          <c:spPr>
            <a:ln w="28575" cap="rnd">
              <a:solidFill>
                <a:schemeClr val="accent4"/>
              </a:solidFill>
              <a:round/>
            </a:ln>
            <a:effectLst/>
          </c:spPr>
          <c:marker>
            <c:symbol val="none"/>
          </c:marker>
          <c:dLbls>
            <c:delete val="1"/>
          </c:dLbls>
          <c:val>
            <c:numRef>
              <c:f>攻速!$F$144:$F$155</c:f>
              <c:numCache>
                <c:formatCode>General</c:formatCode>
                <c:ptCount val="12"/>
                <c:pt idx="0">
                  <c:v>40.4444705513785</c:v>
                </c:pt>
                <c:pt idx="1">
                  <c:v>38.9699460916442</c:v>
                </c:pt>
                <c:pt idx="2">
                  <c:v>36.8674154509284</c:v>
                </c:pt>
                <c:pt idx="3">
                  <c:v>35.3390291262136</c:v>
                </c:pt>
                <c:pt idx="4">
                  <c:v>0</c:v>
                </c:pt>
                <c:pt idx="5">
                  <c:v>0</c:v>
                </c:pt>
                <c:pt idx="6">
                  <c:v>0</c:v>
                </c:pt>
                <c:pt idx="7">
                  <c:v>0</c:v>
                </c:pt>
                <c:pt idx="8">
                  <c:v>0</c:v>
                </c:pt>
                <c:pt idx="9">
                  <c:v>0</c:v>
                </c:pt>
                <c:pt idx="10">
                  <c:v>0</c:v>
                </c:pt>
                <c:pt idx="11">
                  <c:v>0</c:v>
                </c:pt>
              </c:numCache>
            </c:numRef>
          </c:val>
          <c:smooth val="0"/>
        </c:ser>
        <c:ser>
          <c:idx val="4"/>
          <c:order val="4"/>
          <c:tx>
            <c:strRef>
              <c:f>"25次"</c:f>
              <c:strCache>
                <c:ptCount val="1"/>
                <c:pt idx="0">
                  <c:v>25次</c:v>
                </c:pt>
              </c:strCache>
            </c:strRef>
          </c:tx>
          <c:spPr>
            <a:ln w="28575" cap="rnd">
              <a:solidFill>
                <a:schemeClr val="accent5"/>
              </a:solidFill>
              <a:round/>
            </a:ln>
            <a:effectLst/>
          </c:spPr>
          <c:marker>
            <c:symbol val="none"/>
          </c:marker>
          <c:dLbls>
            <c:delete val="1"/>
          </c:dLbls>
          <c:val>
            <c:numRef>
              <c:f>攻速!$G$144:$G$155</c:f>
              <c:numCache>
                <c:formatCode>General</c:formatCode>
                <c:ptCount val="12"/>
                <c:pt idx="0">
                  <c:v>50.5555881892231</c:v>
                </c:pt>
                <c:pt idx="1">
                  <c:v>48.7124326145552</c:v>
                </c:pt>
                <c:pt idx="2">
                  <c:v>46.0842693136605</c:v>
                </c:pt>
                <c:pt idx="3">
                  <c:v>44.173786407767</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0"/>
        <c:smooth val="0"/>
        <c:axId val="406071962"/>
        <c:axId val="167744508"/>
      </c:lineChart>
      <c:catAx>
        <c:axId val="40607196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7744508"/>
        <c:crosses val="autoZero"/>
        <c:auto val="1"/>
        <c:lblAlgn val="ctr"/>
        <c:lblOffset val="100"/>
        <c:noMultiLvlLbl val="0"/>
      </c:catAx>
      <c:valAx>
        <c:axId val="1677445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6071962"/>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chemeClr val="dk1">
                    <a:lumMod val="50000"/>
                    <a:lumOff val="50000"/>
                  </a:schemeClr>
                </a:solidFill>
                <a:latin typeface="+mn-lt"/>
                <a:ea typeface="+mn-ea"/>
                <a:cs typeface="+mn-cs"/>
              </a:defRPr>
            </a:pPr>
            <a:r>
              <a:t>没有冰冻</a:t>
            </a:r>
            <a:r>
              <a:rPr lang="en-US" altLang="zh-CN"/>
              <a:t>debuff</a:t>
            </a:r>
            <a:r>
              <a:rPr altLang="en-US"/>
              <a:t>前提下法师每秒伤害</a:t>
            </a:r>
            <a:endParaRPr altLang="en-US"/>
          </a:p>
        </c:rich>
      </c:tx>
      <c:layout/>
      <c:overlay val="0"/>
      <c:spPr>
        <a:noFill/>
        <a:ln>
          <a:noFill/>
        </a:ln>
        <a:effectLst/>
      </c:spPr>
    </c:title>
    <c:autoTitleDeleted val="0"/>
    <c:plotArea>
      <c:layout/>
      <c:lineChart>
        <c:grouping val="standard"/>
        <c:varyColors val="0"/>
        <c:ser>
          <c:idx val="0"/>
          <c:order val="0"/>
          <c:tx>
            <c:strRef>
              <c:f>"100魔法"</c:f>
              <c:strCache>
                <c:ptCount val="1"/>
                <c:pt idx="0">
                  <c:v>100魔法</c:v>
                </c:pt>
              </c:strCache>
            </c:strRef>
          </c:tx>
          <c:spPr>
            <a:ln w="22225" cap="rnd" cmpd="sng" algn="ctr">
              <a:solidFill>
                <a:schemeClr val="accent1"/>
              </a:solidFill>
              <a:round/>
            </a:ln>
            <a:effectLst/>
          </c:spPr>
          <c:marker>
            <c:symbol val="none"/>
          </c:marker>
          <c:dLbls>
            <c:delete val="1"/>
          </c:dLbls>
          <c:cat>
            <c:numRef>
              <c:f>法师伤害对比!$B$126:$B$136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法师伤害对比!$C$126:$C$136</c:f>
              <c:numCache>
                <c:formatCode>General</c:formatCode>
                <c:ptCount val="11"/>
                <c:pt idx="0">
                  <c:v>405.858999999999</c:v>
                </c:pt>
                <c:pt idx="1">
                  <c:v>432.549999999999</c:v>
                </c:pt>
                <c:pt idx="2">
                  <c:v>461.660000000001</c:v>
                </c:pt>
                <c:pt idx="3">
                  <c:v>472.730000000001</c:v>
                </c:pt>
                <c:pt idx="4">
                  <c:v>482.16</c:v>
                </c:pt>
                <c:pt idx="5">
                  <c:v>488.720000000001</c:v>
                </c:pt>
                <c:pt idx="6">
                  <c:v>498.560000000001</c:v>
                </c:pt>
              </c:numCache>
            </c:numRef>
          </c:val>
          <c:smooth val="0"/>
        </c:ser>
        <c:ser>
          <c:idx val="1"/>
          <c:order val="1"/>
          <c:tx>
            <c:strRef>
              <c:f>"150魔法"</c:f>
              <c:strCache>
                <c:ptCount val="1"/>
                <c:pt idx="0">
                  <c:v>150魔法</c:v>
                </c:pt>
              </c:strCache>
            </c:strRef>
          </c:tx>
          <c:spPr>
            <a:ln w="22225" cap="rnd" cmpd="sng" algn="ctr">
              <a:solidFill>
                <a:schemeClr val="accent2"/>
              </a:solidFill>
              <a:round/>
            </a:ln>
            <a:effectLst/>
          </c:spPr>
          <c:marker>
            <c:symbol val="none"/>
          </c:marker>
          <c:dLbls>
            <c:delete val="1"/>
          </c:dLbls>
          <c:cat>
            <c:numRef>
              <c:f>法师伤害对比!$B$126:$B$136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法师伤害对比!$D$126:$D$136</c:f>
              <c:numCache>
                <c:formatCode>General</c:formatCode>
                <c:ptCount val="11"/>
                <c:pt idx="0">
                  <c:v>488.350666666666</c:v>
                </c:pt>
                <c:pt idx="1">
                  <c:v>520.466666666666</c:v>
                </c:pt>
                <c:pt idx="2">
                  <c:v>555.493333333334</c:v>
                </c:pt>
                <c:pt idx="3">
                  <c:v>568.813333333334</c:v>
                </c:pt>
                <c:pt idx="4">
                  <c:v>580.16</c:v>
                </c:pt>
                <c:pt idx="5">
                  <c:v>588.053333333334</c:v>
                </c:pt>
                <c:pt idx="6">
                  <c:v>599.893333333334</c:v>
                </c:pt>
              </c:numCache>
            </c:numRef>
          </c:val>
          <c:smooth val="0"/>
        </c:ser>
        <c:ser>
          <c:idx val="2"/>
          <c:order val="2"/>
          <c:tx>
            <c:strRef>
              <c:f>"200魔法"</c:f>
              <c:strCache>
                <c:ptCount val="1"/>
                <c:pt idx="0">
                  <c:v>200魔法</c:v>
                </c:pt>
              </c:strCache>
            </c:strRef>
          </c:tx>
          <c:spPr>
            <a:ln w="22225" cap="rnd" cmpd="sng" algn="ctr">
              <a:solidFill>
                <a:schemeClr val="accent3"/>
              </a:solidFill>
              <a:round/>
            </a:ln>
            <a:effectLst/>
          </c:spPr>
          <c:marker>
            <c:symbol val="none"/>
          </c:marker>
          <c:dLbls>
            <c:delete val="1"/>
          </c:dLbls>
          <c:cat>
            <c:numRef>
              <c:f>法师伤害对比!$B$126:$B$136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法师伤害对比!$E$126:$E$136</c:f>
              <c:numCache>
                <c:formatCode>General</c:formatCode>
                <c:ptCount val="11"/>
                <c:pt idx="0">
                  <c:v>570.842333333332</c:v>
                </c:pt>
                <c:pt idx="1">
                  <c:v>608.383333333332</c:v>
                </c:pt>
                <c:pt idx="2">
                  <c:v>649.326666666668</c:v>
                </c:pt>
                <c:pt idx="3">
                  <c:v>664.896666666668</c:v>
                </c:pt>
                <c:pt idx="4">
                  <c:v>678.16</c:v>
                </c:pt>
                <c:pt idx="5">
                  <c:v>687.386666666668</c:v>
                </c:pt>
                <c:pt idx="6">
                  <c:v>701.226666666668</c:v>
                </c:pt>
              </c:numCache>
            </c:numRef>
          </c:val>
          <c:smooth val="0"/>
        </c:ser>
        <c:ser>
          <c:idx val="3"/>
          <c:order val="3"/>
          <c:tx>
            <c:strRef>
              <c:f>"250魔法"</c:f>
              <c:strCache>
                <c:ptCount val="1"/>
                <c:pt idx="0">
                  <c:v>250魔法</c:v>
                </c:pt>
              </c:strCache>
            </c:strRef>
          </c:tx>
          <c:spPr>
            <a:ln w="22225" cap="rnd" cmpd="sng" algn="ctr">
              <a:solidFill>
                <a:schemeClr val="accent4"/>
              </a:solidFill>
              <a:round/>
            </a:ln>
            <a:effectLst/>
          </c:spPr>
          <c:marker>
            <c:symbol val="none"/>
          </c:marker>
          <c:dLbls>
            <c:delete val="1"/>
          </c:dLbls>
          <c:cat>
            <c:numRef>
              <c:f>法师伤害对比!$B$126:$B$136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法师伤害对比!$F$126:$F$136</c:f>
              <c:numCache>
                <c:formatCode>General</c:formatCode>
                <c:ptCount val="11"/>
                <c:pt idx="0">
                  <c:v>653.333999999999</c:v>
                </c:pt>
                <c:pt idx="1">
                  <c:v>696.299999999999</c:v>
                </c:pt>
                <c:pt idx="2">
                  <c:v>743.160000000001</c:v>
                </c:pt>
                <c:pt idx="3">
                  <c:v>760.980000000001</c:v>
                </c:pt>
                <c:pt idx="4">
                  <c:v>776.16</c:v>
                </c:pt>
                <c:pt idx="5">
                  <c:v>786.720000000001</c:v>
                </c:pt>
                <c:pt idx="6">
                  <c:v>802.560000000001</c:v>
                </c:pt>
              </c:numCache>
            </c:numRef>
          </c:val>
          <c:smooth val="0"/>
        </c:ser>
        <c:ser>
          <c:idx val="4"/>
          <c:order val="4"/>
          <c:tx>
            <c:strRef>
              <c:f>"300魔法"</c:f>
              <c:strCache>
                <c:ptCount val="1"/>
                <c:pt idx="0">
                  <c:v>300魔法</c:v>
                </c:pt>
              </c:strCache>
            </c:strRef>
          </c:tx>
          <c:spPr>
            <a:ln w="22225" cap="rnd" cmpd="sng" algn="ctr">
              <a:solidFill>
                <a:schemeClr val="accent5"/>
              </a:solidFill>
              <a:round/>
            </a:ln>
            <a:effectLst/>
          </c:spPr>
          <c:marker>
            <c:symbol val="none"/>
          </c:marker>
          <c:dLbls>
            <c:delete val="1"/>
          </c:dLbls>
          <c:cat>
            <c:numRef>
              <c:f>法师伤害对比!$B$126:$B$136</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法师伤害对比!$G$126:$G$136</c:f>
              <c:numCache>
                <c:formatCode>General</c:formatCode>
                <c:ptCount val="11"/>
                <c:pt idx="0">
                  <c:v>735.825666666665</c:v>
                </c:pt>
                <c:pt idx="1">
                  <c:v>784.216666666665</c:v>
                </c:pt>
                <c:pt idx="2">
                  <c:v>836.993333333335</c:v>
                </c:pt>
                <c:pt idx="3">
                  <c:v>857.063333333335</c:v>
                </c:pt>
                <c:pt idx="4">
                  <c:v>874.16</c:v>
                </c:pt>
                <c:pt idx="5">
                  <c:v>886.053333333335</c:v>
                </c:pt>
                <c:pt idx="6">
                  <c:v>903.893333333335</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0"/>
        <c:smooth val="0"/>
        <c:axId val="186833254"/>
        <c:axId val="672363935"/>
      </c:lineChart>
      <c:catAx>
        <c:axId val="186833254"/>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spc="20" baseline="0">
                <a:solidFill>
                  <a:schemeClr val="dk1">
                    <a:lumMod val="65000"/>
                    <a:lumOff val="35000"/>
                  </a:schemeClr>
                </a:solidFill>
                <a:latin typeface="+mn-lt"/>
                <a:ea typeface="+mn-ea"/>
                <a:cs typeface="+mn-cs"/>
              </a:defRPr>
            </a:pPr>
          </a:p>
        </c:txPr>
        <c:crossAx val="672363935"/>
        <c:crosses val="autoZero"/>
        <c:auto val="1"/>
        <c:lblAlgn val="ctr"/>
        <c:lblOffset val="100"/>
        <c:noMultiLvlLbl val="0"/>
      </c:catAx>
      <c:valAx>
        <c:axId val="672363935"/>
        <c:scaling>
          <c:orientation val="minMax"/>
          <c:min val="400"/>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spc="20" baseline="0">
                <a:solidFill>
                  <a:schemeClr val="dk1">
                    <a:lumMod val="65000"/>
                    <a:lumOff val="35000"/>
                  </a:schemeClr>
                </a:solidFill>
                <a:latin typeface="+mn-lt"/>
                <a:ea typeface="+mn-ea"/>
                <a:cs typeface="+mn-cs"/>
              </a:defRPr>
            </a:pPr>
          </a:p>
        </c:txPr>
        <c:crossAx val="18683325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简单伤害对比</a:t>
            </a:r>
          </a:p>
        </c:rich>
      </c:tx>
      <c:layout/>
      <c:overlay val="0"/>
      <c:spPr>
        <a:noFill/>
        <a:ln>
          <a:noFill/>
        </a:ln>
        <a:effectLst/>
      </c:spPr>
    </c:title>
    <c:autoTitleDeleted val="0"/>
    <c:plotArea>
      <c:layout/>
      <c:lineChart>
        <c:grouping val="standard"/>
        <c:varyColors val="0"/>
        <c:ser>
          <c:idx val="0"/>
          <c:order val="0"/>
          <c:tx>
            <c:strRef>
              <c:f>"3级雷电术"</c:f>
              <c:strCache>
                <c:ptCount val="1"/>
                <c:pt idx="0">
                  <c:v>3级雷电术</c:v>
                </c:pt>
              </c:strCache>
            </c:strRef>
          </c:tx>
          <c:spPr>
            <a:ln w="28575" cap="rnd">
              <a:solidFill>
                <a:schemeClr val="accent1"/>
              </a:solidFill>
              <a:round/>
            </a:ln>
            <a:effectLst/>
          </c:spPr>
          <c:marker>
            <c:symbol val="none"/>
          </c:marker>
          <c:dLbls>
            <c:delete val="1"/>
          </c:dLbls>
          <c:cat>
            <c:numRef>
              <c:f>法师伤害对比!$F$151:$K$151</c:f>
              <c:numCache>
                <c:formatCode>General</c:formatCode>
                <c:ptCount val="6"/>
                <c:pt idx="0">
                  <c:v>50</c:v>
                </c:pt>
                <c:pt idx="1">
                  <c:v>100</c:v>
                </c:pt>
                <c:pt idx="2">
                  <c:v>150</c:v>
                </c:pt>
                <c:pt idx="3">
                  <c:v>200</c:v>
                </c:pt>
                <c:pt idx="4">
                  <c:v>250</c:v>
                </c:pt>
                <c:pt idx="5">
                  <c:v>300</c:v>
                </c:pt>
              </c:numCache>
            </c:numRef>
          </c:cat>
          <c:val>
            <c:numRef>
              <c:f>法师伤害对比!$F$152:$K$152</c:f>
              <c:numCache>
                <c:formatCode>General</c:formatCode>
                <c:ptCount val="6"/>
                <c:pt idx="0">
                  <c:v>135</c:v>
                </c:pt>
                <c:pt idx="1">
                  <c:v>185</c:v>
                </c:pt>
                <c:pt idx="2">
                  <c:v>235</c:v>
                </c:pt>
                <c:pt idx="3">
                  <c:v>285</c:v>
                </c:pt>
                <c:pt idx="4">
                  <c:v>335</c:v>
                </c:pt>
                <c:pt idx="5">
                  <c:v>385</c:v>
                </c:pt>
              </c:numCache>
            </c:numRef>
          </c:val>
          <c:smooth val="0"/>
        </c:ser>
        <c:ser>
          <c:idx val="1"/>
          <c:order val="1"/>
          <c:tx>
            <c:strRef>
              <c:f>"6级雷电术"</c:f>
              <c:strCache>
                <c:ptCount val="1"/>
                <c:pt idx="0">
                  <c:v>6级雷电术</c:v>
                </c:pt>
              </c:strCache>
            </c:strRef>
          </c:tx>
          <c:spPr>
            <a:ln w="28575" cap="rnd">
              <a:solidFill>
                <a:schemeClr val="accent2"/>
              </a:solidFill>
              <a:round/>
            </a:ln>
            <a:effectLst/>
          </c:spPr>
          <c:marker>
            <c:symbol val="none"/>
          </c:marker>
          <c:dLbls>
            <c:delete val="1"/>
          </c:dLbls>
          <c:cat>
            <c:numRef>
              <c:f>法师伤害对比!$F$151:$K$151</c:f>
              <c:numCache>
                <c:formatCode>General</c:formatCode>
                <c:ptCount val="6"/>
                <c:pt idx="0">
                  <c:v>50</c:v>
                </c:pt>
                <c:pt idx="1">
                  <c:v>100</c:v>
                </c:pt>
                <c:pt idx="2">
                  <c:v>150</c:v>
                </c:pt>
                <c:pt idx="3">
                  <c:v>200</c:v>
                </c:pt>
                <c:pt idx="4">
                  <c:v>250</c:v>
                </c:pt>
                <c:pt idx="5">
                  <c:v>300</c:v>
                </c:pt>
              </c:numCache>
            </c:numRef>
          </c:cat>
          <c:val>
            <c:numRef>
              <c:f>法师伤害对比!$F$153:$K$153</c:f>
              <c:numCache>
                <c:formatCode>General</c:formatCode>
                <c:ptCount val="6"/>
                <c:pt idx="0">
                  <c:v>170</c:v>
                </c:pt>
                <c:pt idx="1">
                  <c:v>220</c:v>
                </c:pt>
                <c:pt idx="2">
                  <c:v>270</c:v>
                </c:pt>
                <c:pt idx="3">
                  <c:v>320</c:v>
                </c:pt>
                <c:pt idx="4">
                  <c:v>370</c:v>
                </c:pt>
                <c:pt idx="5">
                  <c:v>420</c:v>
                </c:pt>
              </c:numCache>
            </c:numRef>
          </c:val>
          <c:smooth val="0"/>
        </c:ser>
        <c:ser>
          <c:idx val="2"/>
          <c:order val="2"/>
          <c:tx>
            <c:strRef>
              <c:f>"3级灭天火"</c:f>
              <c:strCache>
                <c:ptCount val="1"/>
                <c:pt idx="0">
                  <c:v>3级灭天火</c:v>
                </c:pt>
              </c:strCache>
            </c:strRef>
          </c:tx>
          <c:spPr>
            <a:ln w="28575" cap="rnd">
              <a:solidFill>
                <a:schemeClr val="accent3"/>
              </a:solidFill>
              <a:round/>
            </a:ln>
            <a:effectLst/>
          </c:spPr>
          <c:marker>
            <c:symbol val="none"/>
          </c:marker>
          <c:dLbls>
            <c:delete val="1"/>
          </c:dLbls>
          <c:cat>
            <c:numRef>
              <c:f>法师伤害对比!$F$151:$K$151</c:f>
              <c:numCache>
                <c:formatCode>General</c:formatCode>
                <c:ptCount val="6"/>
                <c:pt idx="0">
                  <c:v>50</c:v>
                </c:pt>
                <c:pt idx="1">
                  <c:v>100</c:v>
                </c:pt>
                <c:pt idx="2">
                  <c:v>150</c:v>
                </c:pt>
                <c:pt idx="3">
                  <c:v>200</c:v>
                </c:pt>
                <c:pt idx="4">
                  <c:v>250</c:v>
                </c:pt>
                <c:pt idx="5">
                  <c:v>300</c:v>
                </c:pt>
              </c:numCache>
            </c:numRef>
          </c:cat>
          <c:val>
            <c:numRef>
              <c:f>法师伤害对比!$F$154:$K$154</c:f>
              <c:numCache>
                <c:formatCode>General</c:formatCode>
                <c:ptCount val="6"/>
                <c:pt idx="0">
                  <c:v>120</c:v>
                </c:pt>
                <c:pt idx="1">
                  <c:v>170</c:v>
                </c:pt>
                <c:pt idx="2">
                  <c:v>220</c:v>
                </c:pt>
                <c:pt idx="3">
                  <c:v>270</c:v>
                </c:pt>
                <c:pt idx="4">
                  <c:v>320</c:v>
                </c:pt>
                <c:pt idx="5">
                  <c:v>370</c:v>
                </c:pt>
              </c:numCache>
            </c:numRef>
          </c:val>
          <c:smooth val="0"/>
        </c:ser>
        <c:ser>
          <c:idx val="3"/>
          <c:order val="3"/>
          <c:tx>
            <c:strRef>
              <c:f>"3级灭天火+冰冻"</c:f>
              <c:strCache>
                <c:ptCount val="1"/>
                <c:pt idx="0">
                  <c:v>3级灭天火+冰冻</c:v>
                </c:pt>
              </c:strCache>
            </c:strRef>
          </c:tx>
          <c:spPr>
            <a:ln w="28575" cap="rnd">
              <a:solidFill>
                <a:schemeClr val="accent4"/>
              </a:solidFill>
              <a:round/>
            </a:ln>
            <a:effectLst/>
          </c:spPr>
          <c:marker>
            <c:symbol val="none"/>
          </c:marker>
          <c:dLbls>
            <c:delete val="1"/>
          </c:dLbls>
          <c:cat>
            <c:numRef>
              <c:f>法师伤害对比!$F$151:$K$151</c:f>
              <c:numCache>
                <c:formatCode>General</c:formatCode>
                <c:ptCount val="6"/>
                <c:pt idx="0">
                  <c:v>50</c:v>
                </c:pt>
                <c:pt idx="1">
                  <c:v>100</c:v>
                </c:pt>
                <c:pt idx="2">
                  <c:v>150</c:v>
                </c:pt>
                <c:pt idx="3">
                  <c:v>200</c:v>
                </c:pt>
                <c:pt idx="4">
                  <c:v>250</c:v>
                </c:pt>
                <c:pt idx="5">
                  <c:v>300</c:v>
                </c:pt>
              </c:numCache>
            </c:numRef>
          </c:cat>
          <c:val>
            <c:numRef>
              <c:f>法师伤害对比!$F$155:$K$155</c:f>
              <c:numCache>
                <c:formatCode>General</c:formatCode>
                <c:ptCount val="6"/>
                <c:pt idx="0">
                  <c:v>180</c:v>
                </c:pt>
                <c:pt idx="1">
                  <c:v>255</c:v>
                </c:pt>
                <c:pt idx="2">
                  <c:v>330</c:v>
                </c:pt>
                <c:pt idx="3">
                  <c:v>405</c:v>
                </c:pt>
                <c:pt idx="4">
                  <c:v>480</c:v>
                </c:pt>
                <c:pt idx="5">
                  <c:v>555</c:v>
                </c:pt>
              </c:numCache>
            </c:numRef>
          </c:val>
          <c:smooth val="0"/>
        </c:ser>
        <c:ser>
          <c:idx val="4"/>
          <c:order val="4"/>
          <c:tx>
            <c:strRef>
              <c:f>"冰焰术"</c:f>
              <c:strCache>
                <c:ptCount val="1"/>
                <c:pt idx="0">
                  <c:v>冰焰术</c:v>
                </c:pt>
              </c:strCache>
            </c:strRef>
          </c:tx>
          <c:spPr>
            <a:ln w="28575" cap="rnd">
              <a:solidFill>
                <a:schemeClr val="accent5"/>
              </a:solidFill>
              <a:round/>
            </a:ln>
            <a:effectLst/>
          </c:spPr>
          <c:marker>
            <c:symbol val="none"/>
          </c:marker>
          <c:dLbls>
            <c:delete val="1"/>
          </c:dLbls>
          <c:cat>
            <c:numRef>
              <c:f>法师伤害对比!$F$151:$K$151</c:f>
              <c:numCache>
                <c:formatCode>General</c:formatCode>
                <c:ptCount val="6"/>
                <c:pt idx="0">
                  <c:v>50</c:v>
                </c:pt>
                <c:pt idx="1">
                  <c:v>100</c:v>
                </c:pt>
                <c:pt idx="2">
                  <c:v>150</c:v>
                </c:pt>
                <c:pt idx="3">
                  <c:v>200</c:v>
                </c:pt>
                <c:pt idx="4">
                  <c:v>250</c:v>
                </c:pt>
                <c:pt idx="5">
                  <c:v>300</c:v>
                </c:pt>
              </c:numCache>
            </c:numRef>
          </c:cat>
          <c:val>
            <c:numRef>
              <c:f>法师伤害对比!$F$156:$K$156</c:f>
              <c:numCache>
                <c:formatCode>General</c:formatCode>
                <c:ptCount val="6"/>
                <c:pt idx="0">
                  <c:v>250</c:v>
                </c:pt>
                <c:pt idx="1">
                  <c:v>300</c:v>
                </c:pt>
                <c:pt idx="2">
                  <c:v>350</c:v>
                </c:pt>
                <c:pt idx="3">
                  <c:v>400</c:v>
                </c:pt>
                <c:pt idx="4">
                  <c:v>450</c:v>
                </c:pt>
                <c:pt idx="5">
                  <c:v>500</c:v>
                </c:pt>
              </c:numCache>
            </c:numRef>
          </c:val>
          <c:smooth val="0"/>
        </c:ser>
        <c:dLbls>
          <c:showLegendKey val="0"/>
          <c:showVal val="0"/>
          <c:showCatName val="0"/>
          <c:showSerName val="0"/>
          <c:showPercent val="0"/>
          <c:showBubbleSize val="0"/>
        </c:dLbls>
        <c:marker val="0"/>
        <c:smooth val="0"/>
        <c:axId val="405817237"/>
        <c:axId val="425223239"/>
      </c:lineChart>
      <c:catAx>
        <c:axId val="405817237"/>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魔法</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5223239"/>
        <c:crosses val="autoZero"/>
        <c:auto val="1"/>
        <c:lblAlgn val="ctr"/>
        <c:lblOffset val="100"/>
        <c:noMultiLvlLbl val="0"/>
      </c:catAx>
      <c:valAx>
        <c:axId val="425223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伤害</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581723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1267460</xdr:colOff>
      <xdr:row>141</xdr:row>
      <xdr:rowOff>36830</xdr:rowOff>
    </xdr:from>
    <xdr:to>
      <xdr:col>10</xdr:col>
      <xdr:colOff>848360</xdr:colOff>
      <xdr:row>157</xdr:row>
      <xdr:rowOff>27305</xdr:rowOff>
    </xdr:to>
    <xdr:graphicFrame>
      <xdr:nvGraphicFramePr>
        <xdr:cNvPr id="2" name="图表 1"/>
        <xdr:cNvGraphicFramePr/>
      </xdr:nvGraphicFramePr>
      <xdr:xfrm>
        <a:off x="11062970" y="24373205"/>
        <a:ext cx="4572000" cy="27527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559435</xdr:colOff>
      <xdr:row>111</xdr:row>
      <xdr:rowOff>81915</xdr:rowOff>
    </xdr:from>
    <xdr:to>
      <xdr:col>20</xdr:col>
      <xdr:colOff>562610</xdr:colOff>
      <xdr:row>139</xdr:row>
      <xdr:rowOff>107950</xdr:rowOff>
    </xdr:to>
    <xdr:graphicFrame>
      <xdr:nvGraphicFramePr>
        <xdr:cNvPr id="4" name="图表 3"/>
        <xdr:cNvGraphicFramePr/>
      </xdr:nvGraphicFramePr>
      <xdr:xfrm>
        <a:off x="9331960" y="19150965"/>
        <a:ext cx="9737725" cy="48266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351155</xdr:colOff>
      <xdr:row>143</xdr:row>
      <xdr:rowOff>102870</xdr:rowOff>
    </xdr:from>
    <xdr:to>
      <xdr:col>19</xdr:col>
      <xdr:colOff>180340</xdr:colOff>
      <xdr:row>163</xdr:row>
      <xdr:rowOff>91440</xdr:rowOff>
    </xdr:to>
    <xdr:graphicFrame>
      <xdr:nvGraphicFramePr>
        <xdr:cNvPr id="2" name="图表 1"/>
        <xdr:cNvGraphicFramePr/>
      </xdr:nvGraphicFramePr>
      <xdr:xfrm>
        <a:off x="12800330" y="24658320"/>
        <a:ext cx="5201285" cy="34175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10</xdr:col>
      <xdr:colOff>0</xdr:colOff>
      <xdr:row>123</xdr:row>
      <xdr:rowOff>0</xdr:rowOff>
    </xdr:from>
    <xdr:to>
      <xdr:col>16</xdr:col>
      <xdr:colOff>847725</xdr:colOff>
      <xdr:row>139</xdr:row>
      <xdr:rowOff>0</xdr:rowOff>
    </xdr:to>
    <xdr:pic>
      <xdr:nvPicPr>
        <xdr:cNvPr id="2" name="图片 1"/>
        <xdr:cNvPicPr>
          <a:picLocks noChangeAspect="1"/>
        </xdr:cNvPicPr>
      </xdr:nvPicPr>
      <xdr:blipFill>
        <a:blip r:embed="rId1"/>
        <a:stretch>
          <a:fillRect/>
        </a:stretch>
      </xdr:blipFill>
      <xdr:spPr>
        <a:xfrm>
          <a:off x="8020050" y="21116925"/>
          <a:ext cx="7848600" cy="2743200"/>
        </a:xfrm>
        <a:prstGeom prst="rect">
          <a:avLst/>
        </a:prstGeom>
        <a:noFill/>
        <a:ln w="9525">
          <a:noFill/>
        </a:ln>
      </xdr:spPr>
    </xdr:pic>
    <xdr:clientData/>
  </xdr:twoCellAnchor>
  <xdr:twoCellAnchor>
    <xdr:from>
      <xdr:col>10</xdr:col>
      <xdr:colOff>56515</xdr:colOff>
      <xdr:row>141</xdr:row>
      <xdr:rowOff>170815</xdr:rowOff>
    </xdr:from>
    <xdr:to>
      <xdr:col>16</xdr:col>
      <xdr:colOff>961390</xdr:colOff>
      <xdr:row>158</xdr:row>
      <xdr:rowOff>170815</xdr:rowOff>
    </xdr:to>
    <xdr:pic>
      <xdr:nvPicPr>
        <xdr:cNvPr id="3" name="图片 2"/>
        <xdr:cNvPicPr>
          <a:picLocks noChangeAspect="1"/>
        </xdr:cNvPicPr>
      </xdr:nvPicPr>
      <xdr:blipFill>
        <a:blip r:embed="rId2"/>
        <a:stretch>
          <a:fillRect/>
        </a:stretch>
      </xdr:blipFill>
      <xdr:spPr>
        <a:xfrm>
          <a:off x="8076565" y="24373840"/>
          <a:ext cx="7905750" cy="2914650"/>
        </a:xfrm>
        <a:prstGeom prst="rect">
          <a:avLst/>
        </a:prstGeom>
        <a:noFill/>
        <a:ln w="9525">
          <a:noFill/>
        </a:ln>
      </xdr:spPr>
    </xdr:pic>
    <xdr:clientData/>
  </xdr:twoCellAnchor>
  <xdr:twoCellAnchor>
    <xdr:from>
      <xdr:col>10</xdr:col>
      <xdr:colOff>0</xdr:colOff>
      <xdr:row>161</xdr:row>
      <xdr:rowOff>0</xdr:rowOff>
    </xdr:from>
    <xdr:to>
      <xdr:col>16</xdr:col>
      <xdr:colOff>771525</xdr:colOff>
      <xdr:row>177</xdr:row>
      <xdr:rowOff>38100</xdr:rowOff>
    </xdr:to>
    <xdr:pic>
      <xdr:nvPicPr>
        <xdr:cNvPr id="4" name="图片 3"/>
        <xdr:cNvPicPr>
          <a:picLocks noChangeAspect="1"/>
        </xdr:cNvPicPr>
      </xdr:nvPicPr>
      <xdr:blipFill>
        <a:blip r:embed="rId3"/>
        <a:stretch>
          <a:fillRect/>
        </a:stretch>
      </xdr:blipFill>
      <xdr:spPr>
        <a:xfrm>
          <a:off x="8020050" y="27632025"/>
          <a:ext cx="7772400" cy="27813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0"/>
  <sheetViews>
    <sheetView zoomScale="85" zoomScaleNormal="85" workbookViewId="0">
      <selection activeCell="AA41" sqref="AA41"/>
    </sheetView>
  </sheetViews>
  <sheetFormatPr defaultColWidth="9" defaultRowHeight="13.5"/>
  <sheetData>
    <row r="1" spans="1:24">
      <c r="A1" s="200" t="s">
        <v>0</v>
      </c>
      <c r="B1" s="200"/>
      <c r="C1" s="200"/>
      <c r="D1" s="200"/>
      <c r="E1" s="200"/>
      <c r="F1" s="200"/>
      <c r="G1" s="200"/>
      <c r="H1" s="200"/>
      <c r="I1" s="200"/>
      <c r="J1" s="200"/>
      <c r="K1" s="200"/>
      <c r="L1" s="200"/>
      <c r="M1" s="200"/>
      <c r="N1" s="200"/>
      <c r="O1" s="200"/>
      <c r="P1" s="200"/>
      <c r="Q1" s="200"/>
      <c r="R1" s="200"/>
      <c r="S1" s="200"/>
      <c r="T1" s="200"/>
      <c r="U1" s="200"/>
      <c r="V1" s="200"/>
      <c r="W1" s="200"/>
      <c r="X1" s="200"/>
    </row>
    <row r="2" spans="1:24">
      <c r="A2" s="200"/>
      <c r="B2" s="200"/>
      <c r="C2" s="200"/>
      <c r="D2" s="200"/>
      <c r="E2" s="200"/>
      <c r="F2" s="200"/>
      <c r="G2" s="200"/>
      <c r="H2" s="200"/>
      <c r="I2" s="200"/>
      <c r="J2" s="200"/>
      <c r="K2" s="200"/>
      <c r="L2" s="200"/>
      <c r="M2" s="200"/>
      <c r="N2" s="200"/>
      <c r="O2" s="200"/>
      <c r="P2" s="200"/>
      <c r="Q2" s="200"/>
      <c r="R2" s="200"/>
      <c r="S2" s="200"/>
      <c r="T2" s="200"/>
      <c r="U2" s="200"/>
      <c r="V2" s="200"/>
      <c r="W2" s="200"/>
      <c r="X2" s="200"/>
    </row>
    <row r="3" spans="1:24">
      <c r="A3" s="200"/>
      <c r="B3" s="200"/>
      <c r="C3" s="200"/>
      <c r="D3" s="200"/>
      <c r="E3" s="200"/>
      <c r="F3" s="200"/>
      <c r="G3" s="200"/>
      <c r="H3" s="200"/>
      <c r="I3" s="200"/>
      <c r="J3" s="200"/>
      <c r="K3" s="200"/>
      <c r="L3" s="200"/>
      <c r="M3" s="200"/>
      <c r="N3" s="200"/>
      <c r="O3" s="200"/>
      <c r="P3" s="200"/>
      <c r="Q3" s="200"/>
      <c r="R3" s="200"/>
      <c r="S3" s="200"/>
      <c r="T3" s="200"/>
      <c r="U3" s="200"/>
      <c r="V3" s="200"/>
      <c r="W3" s="200"/>
      <c r="X3" s="200"/>
    </row>
    <row r="4" spans="1:24">
      <c r="A4" s="200"/>
      <c r="B4" s="200"/>
      <c r="C4" s="200"/>
      <c r="D4" s="200"/>
      <c r="E4" s="200"/>
      <c r="F4" s="200"/>
      <c r="G4" s="200"/>
      <c r="H4" s="200"/>
      <c r="I4" s="200"/>
      <c r="J4" s="200"/>
      <c r="K4" s="200"/>
      <c r="L4" s="200"/>
      <c r="M4" s="200"/>
      <c r="N4" s="200"/>
      <c r="O4" s="200"/>
      <c r="P4" s="200"/>
      <c r="Q4" s="200"/>
      <c r="R4" s="200"/>
      <c r="S4" s="200"/>
      <c r="T4" s="200"/>
      <c r="U4" s="200"/>
      <c r="V4" s="200"/>
      <c r="W4" s="200"/>
      <c r="X4" s="200"/>
    </row>
    <row r="5" spans="1:24">
      <c r="A5" s="200"/>
      <c r="B5" s="200"/>
      <c r="C5" s="200"/>
      <c r="D5" s="200"/>
      <c r="E5" s="200"/>
      <c r="F5" s="200"/>
      <c r="G5" s="200"/>
      <c r="H5" s="200"/>
      <c r="I5" s="200"/>
      <c r="J5" s="200"/>
      <c r="K5" s="200"/>
      <c r="L5" s="200"/>
      <c r="M5" s="200"/>
      <c r="N5" s="200"/>
      <c r="O5" s="200"/>
      <c r="P5" s="200"/>
      <c r="Q5" s="200"/>
      <c r="R5" s="200"/>
      <c r="S5" s="200"/>
      <c r="T5" s="200"/>
      <c r="U5" s="200"/>
      <c r="V5" s="200"/>
      <c r="W5" s="200"/>
      <c r="X5" s="200"/>
    </row>
    <row r="6" spans="1:24">
      <c r="A6" s="200"/>
      <c r="B6" s="200"/>
      <c r="C6" s="200"/>
      <c r="D6" s="200"/>
      <c r="E6" s="200"/>
      <c r="F6" s="200"/>
      <c r="G6" s="200"/>
      <c r="H6" s="200"/>
      <c r="I6" s="200"/>
      <c r="J6" s="200"/>
      <c r="K6" s="200"/>
      <c r="L6" s="200"/>
      <c r="M6" s="200"/>
      <c r="N6" s="200"/>
      <c r="O6" s="200"/>
      <c r="P6" s="200"/>
      <c r="Q6" s="200"/>
      <c r="R6" s="200"/>
      <c r="S6" s="200"/>
      <c r="T6" s="200"/>
      <c r="U6" s="200"/>
      <c r="V6" s="200"/>
      <c r="W6" s="200"/>
      <c r="X6" s="200"/>
    </row>
    <row r="7" spans="1:24">
      <c r="A7" s="200"/>
      <c r="B7" s="200"/>
      <c r="C7" s="200"/>
      <c r="D7" s="200"/>
      <c r="E7" s="200"/>
      <c r="F7" s="200"/>
      <c r="G7" s="200"/>
      <c r="H7" s="200"/>
      <c r="I7" s="200"/>
      <c r="J7" s="200"/>
      <c r="K7" s="200"/>
      <c r="L7" s="200"/>
      <c r="M7" s="200"/>
      <c r="N7" s="200"/>
      <c r="O7" s="200"/>
      <c r="P7" s="200"/>
      <c r="Q7" s="200"/>
      <c r="R7" s="200"/>
      <c r="S7" s="200"/>
      <c r="T7" s="200"/>
      <c r="U7" s="200"/>
      <c r="V7" s="200"/>
      <c r="W7" s="200"/>
      <c r="X7" s="200"/>
    </row>
    <row r="8" spans="1:24">
      <c r="A8" s="200"/>
      <c r="B8" s="200"/>
      <c r="C8" s="200"/>
      <c r="D8" s="200"/>
      <c r="E8" s="200"/>
      <c r="F8" s="200"/>
      <c r="G8" s="200"/>
      <c r="H8" s="200"/>
      <c r="I8" s="200"/>
      <c r="J8" s="200"/>
      <c r="K8" s="200"/>
      <c r="L8" s="200"/>
      <c r="M8" s="200"/>
      <c r="N8" s="200"/>
      <c r="O8" s="200"/>
      <c r="P8" s="200"/>
      <c r="Q8" s="200"/>
      <c r="R8" s="200"/>
      <c r="S8" s="200"/>
      <c r="T8" s="200"/>
      <c r="U8" s="200"/>
      <c r="V8" s="200"/>
      <c r="W8" s="200"/>
      <c r="X8" s="200"/>
    </row>
    <row r="9" spans="1:24">
      <c r="A9" s="200"/>
      <c r="B9" s="200"/>
      <c r="C9" s="200"/>
      <c r="D9" s="200"/>
      <c r="E9" s="200"/>
      <c r="F9" s="200"/>
      <c r="G9" s="200"/>
      <c r="H9" s="200"/>
      <c r="I9" s="200"/>
      <c r="J9" s="200"/>
      <c r="K9" s="200"/>
      <c r="L9" s="200"/>
      <c r="M9" s="200"/>
      <c r="N9" s="200"/>
      <c r="O9" s="200"/>
      <c r="P9" s="200"/>
      <c r="Q9" s="200"/>
      <c r="R9" s="200"/>
      <c r="S9" s="200"/>
      <c r="T9" s="200"/>
      <c r="U9" s="200"/>
      <c r="V9" s="200"/>
      <c r="W9" s="200"/>
      <c r="X9" s="200"/>
    </row>
    <row r="10" spans="1:24">
      <c r="A10" s="200"/>
      <c r="B10" s="200"/>
      <c r="C10" s="200"/>
      <c r="D10" s="200"/>
      <c r="E10" s="200"/>
      <c r="F10" s="200"/>
      <c r="G10" s="200"/>
      <c r="H10" s="200"/>
      <c r="I10" s="200"/>
      <c r="J10" s="200"/>
      <c r="K10" s="200"/>
      <c r="L10" s="200"/>
      <c r="M10" s="200"/>
      <c r="N10" s="200"/>
      <c r="O10" s="200"/>
      <c r="P10" s="200"/>
      <c r="Q10" s="200"/>
      <c r="R10" s="200"/>
      <c r="S10" s="200"/>
      <c r="T10" s="200"/>
      <c r="U10" s="200"/>
      <c r="V10" s="200"/>
      <c r="W10" s="200"/>
      <c r="X10" s="200"/>
    </row>
    <row r="11" spans="1:24">
      <c r="A11" s="200"/>
      <c r="B11" s="200"/>
      <c r="C11" s="200"/>
      <c r="D11" s="200"/>
      <c r="E11" s="200"/>
      <c r="F11" s="200"/>
      <c r="G11" s="200"/>
      <c r="H11" s="200"/>
      <c r="I11" s="200"/>
      <c r="J11" s="200"/>
      <c r="K11" s="200"/>
      <c r="L11" s="200"/>
      <c r="M11" s="200"/>
      <c r="N11" s="200"/>
      <c r="O11" s="200"/>
      <c r="P11" s="200"/>
      <c r="Q11" s="200"/>
      <c r="R11" s="200"/>
      <c r="S11" s="200"/>
      <c r="T11" s="200"/>
      <c r="U11" s="200"/>
      <c r="V11" s="200"/>
      <c r="W11" s="200"/>
      <c r="X11" s="200"/>
    </row>
    <row r="12" spans="1:24">
      <c r="A12" s="200"/>
      <c r="B12" s="200"/>
      <c r="C12" s="200"/>
      <c r="D12" s="200"/>
      <c r="E12" s="200"/>
      <c r="F12" s="200"/>
      <c r="G12" s="200"/>
      <c r="H12" s="200"/>
      <c r="I12" s="200"/>
      <c r="J12" s="200"/>
      <c r="K12" s="200"/>
      <c r="L12" s="200"/>
      <c r="M12" s="200"/>
      <c r="N12" s="200"/>
      <c r="O12" s="200"/>
      <c r="P12" s="200"/>
      <c r="Q12" s="200"/>
      <c r="R12" s="200"/>
      <c r="S12" s="200"/>
      <c r="T12" s="200"/>
      <c r="U12" s="200"/>
      <c r="V12" s="200"/>
      <c r="W12" s="200"/>
      <c r="X12" s="200"/>
    </row>
    <row r="13" spans="1:24">
      <c r="A13" s="200"/>
      <c r="B13" s="200"/>
      <c r="C13" s="200"/>
      <c r="D13" s="200"/>
      <c r="E13" s="200"/>
      <c r="F13" s="200"/>
      <c r="G13" s="200"/>
      <c r="H13" s="200"/>
      <c r="I13" s="200"/>
      <c r="J13" s="200"/>
      <c r="K13" s="200"/>
      <c r="L13" s="200"/>
      <c r="M13" s="200"/>
      <c r="N13" s="200"/>
      <c r="O13" s="200"/>
      <c r="P13" s="200"/>
      <c r="Q13" s="200"/>
      <c r="R13" s="200"/>
      <c r="S13" s="200"/>
      <c r="T13" s="200"/>
      <c r="U13" s="200"/>
      <c r="V13" s="200"/>
      <c r="W13" s="200"/>
      <c r="X13" s="200"/>
    </row>
    <row r="14" spans="1:24">
      <c r="A14" s="200"/>
      <c r="B14" s="200"/>
      <c r="C14" s="200"/>
      <c r="D14" s="200"/>
      <c r="E14" s="200"/>
      <c r="F14" s="200"/>
      <c r="G14" s="200"/>
      <c r="H14" s="200"/>
      <c r="I14" s="200"/>
      <c r="J14" s="200"/>
      <c r="K14" s="200"/>
      <c r="L14" s="200"/>
      <c r="M14" s="200"/>
      <c r="N14" s="200"/>
      <c r="O14" s="200"/>
      <c r="P14" s="200"/>
      <c r="Q14" s="200"/>
      <c r="R14" s="200"/>
      <c r="S14" s="200"/>
      <c r="T14" s="200"/>
      <c r="U14" s="200"/>
      <c r="V14" s="200"/>
      <c r="W14" s="200"/>
      <c r="X14" s="200"/>
    </row>
    <row r="15" spans="1:24">
      <c r="A15" s="200"/>
      <c r="B15" s="200"/>
      <c r="C15" s="200"/>
      <c r="D15" s="200"/>
      <c r="E15" s="200"/>
      <c r="F15" s="200"/>
      <c r="G15" s="200"/>
      <c r="H15" s="200"/>
      <c r="I15" s="200"/>
      <c r="J15" s="200"/>
      <c r="K15" s="200"/>
      <c r="L15" s="200"/>
      <c r="M15" s="200"/>
      <c r="N15" s="200"/>
      <c r="O15" s="200"/>
      <c r="P15" s="200"/>
      <c r="Q15" s="200"/>
      <c r="R15" s="200"/>
      <c r="S15" s="200"/>
      <c r="T15" s="200"/>
      <c r="U15" s="200"/>
      <c r="V15" s="200"/>
      <c r="W15" s="200"/>
      <c r="X15" s="200"/>
    </row>
    <row r="16" spans="1:24">
      <c r="A16" s="200"/>
      <c r="B16" s="200"/>
      <c r="C16" s="200"/>
      <c r="D16" s="200"/>
      <c r="E16" s="200"/>
      <c r="F16" s="200"/>
      <c r="G16" s="200"/>
      <c r="H16" s="200"/>
      <c r="I16" s="200"/>
      <c r="J16" s="200"/>
      <c r="K16" s="200"/>
      <c r="L16" s="200"/>
      <c r="M16" s="200"/>
      <c r="N16" s="200"/>
      <c r="O16" s="200"/>
      <c r="P16" s="200"/>
      <c r="Q16" s="200"/>
      <c r="R16" s="200"/>
      <c r="S16" s="200"/>
      <c r="T16" s="200"/>
      <c r="U16" s="200"/>
      <c r="V16" s="200"/>
      <c r="W16" s="200"/>
      <c r="X16" s="200"/>
    </row>
    <row r="17" spans="1:24">
      <c r="A17" s="200"/>
      <c r="B17" s="200"/>
      <c r="C17" s="200"/>
      <c r="D17" s="200"/>
      <c r="E17" s="200"/>
      <c r="F17" s="200"/>
      <c r="G17" s="200"/>
      <c r="H17" s="200"/>
      <c r="I17" s="200"/>
      <c r="J17" s="200"/>
      <c r="K17" s="200"/>
      <c r="L17" s="200"/>
      <c r="M17" s="200"/>
      <c r="N17" s="200"/>
      <c r="O17" s="200"/>
      <c r="P17" s="200"/>
      <c r="Q17" s="200"/>
      <c r="R17" s="200"/>
      <c r="S17" s="200"/>
      <c r="T17" s="200"/>
      <c r="U17" s="200"/>
      <c r="V17" s="200"/>
      <c r="W17" s="200"/>
      <c r="X17" s="200"/>
    </row>
    <row r="18" spans="1:24">
      <c r="A18" s="200"/>
      <c r="B18" s="200"/>
      <c r="C18" s="200"/>
      <c r="D18" s="200"/>
      <c r="E18" s="200"/>
      <c r="F18" s="200"/>
      <c r="G18" s="200"/>
      <c r="H18" s="200"/>
      <c r="I18" s="200"/>
      <c r="J18" s="200"/>
      <c r="K18" s="200"/>
      <c r="L18" s="200"/>
      <c r="M18" s="200"/>
      <c r="N18" s="200"/>
      <c r="O18" s="200"/>
      <c r="P18" s="200"/>
      <c r="Q18" s="200"/>
      <c r="R18" s="200"/>
      <c r="S18" s="200"/>
      <c r="T18" s="200"/>
      <c r="U18" s="200"/>
      <c r="V18" s="200"/>
      <c r="W18" s="200"/>
      <c r="X18" s="200"/>
    </row>
    <row r="19" spans="1:24">
      <c r="A19" s="200"/>
      <c r="B19" s="200"/>
      <c r="C19" s="200"/>
      <c r="D19" s="200"/>
      <c r="E19" s="200"/>
      <c r="F19" s="200"/>
      <c r="G19" s="200"/>
      <c r="H19" s="200"/>
      <c r="I19" s="200"/>
      <c r="J19" s="200"/>
      <c r="K19" s="200"/>
      <c r="L19" s="200"/>
      <c r="M19" s="200"/>
      <c r="N19" s="200"/>
      <c r="O19" s="200"/>
      <c r="P19" s="200"/>
      <c r="Q19" s="200"/>
      <c r="R19" s="200"/>
      <c r="S19" s="200"/>
      <c r="T19" s="200"/>
      <c r="U19" s="200"/>
      <c r="V19" s="200"/>
      <c r="W19" s="200"/>
      <c r="X19" s="200"/>
    </row>
    <row r="20" spans="1:24">
      <c r="A20" s="200"/>
      <c r="B20" s="200"/>
      <c r="C20" s="200"/>
      <c r="D20" s="200"/>
      <c r="E20" s="200"/>
      <c r="F20" s="200"/>
      <c r="G20" s="200"/>
      <c r="H20" s="200"/>
      <c r="I20" s="200"/>
      <c r="J20" s="200"/>
      <c r="K20" s="200"/>
      <c r="L20" s="200"/>
      <c r="M20" s="200"/>
      <c r="N20" s="200"/>
      <c r="O20" s="200"/>
      <c r="P20" s="200"/>
      <c r="Q20" s="200"/>
      <c r="R20" s="200"/>
      <c r="S20" s="200"/>
      <c r="T20" s="200"/>
      <c r="U20" s="200"/>
      <c r="V20" s="200"/>
      <c r="W20" s="200"/>
      <c r="X20" s="200"/>
    </row>
    <row r="21" spans="1:24">
      <c r="A21" s="200"/>
      <c r="B21" s="200"/>
      <c r="C21" s="200"/>
      <c r="D21" s="200"/>
      <c r="E21" s="200"/>
      <c r="F21" s="200"/>
      <c r="G21" s="200"/>
      <c r="H21" s="200"/>
      <c r="I21" s="200"/>
      <c r="J21" s="200"/>
      <c r="K21" s="200"/>
      <c r="L21" s="200"/>
      <c r="M21" s="200"/>
      <c r="N21" s="200"/>
      <c r="O21" s="200"/>
      <c r="P21" s="200"/>
      <c r="Q21" s="200"/>
      <c r="R21" s="200"/>
      <c r="S21" s="200"/>
      <c r="T21" s="200"/>
      <c r="U21" s="200"/>
      <c r="V21" s="200"/>
      <c r="W21" s="200"/>
      <c r="X21" s="200"/>
    </row>
    <row r="22" spans="1:24">
      <c r="A22" s="200"/>
      <c r="B22" s="200"/>
      <c r="C22" s="200"/>
      <c r="D22" s="200"/>
      <c r="E22" s="200"/>
      <c r="F22" s="200"/>
      <c r="G22" s="200"/>
      <c r="H22" s="200"/>
      <c r="I22" s="200"/>
      <c r="J22" s="200"/>
      <c r="K22" s="200"/>
      <c r="L22" s="200"/>
      <c r="M22" s="200"/>
      <c r="N22" s="200"/>
      <c r="O22" s="200"/>
      <c r="P22" s="200"/>
      <c r="Q22" s="200"/>
      <c r="R22" s="200"/>
      <c r="S22" s="200"/>
      <c r="T22" s="200"/>
      <c r="U22" s="200"/>
      <c r="V22" s="200"/>
      <c r="W22" s="200"/>
      <c r="X22" s="200"/>
    </row>
    <row r="23" spans="1:24">
      <c r="A23" s="200"/>
      <c r="B23" s="200"/>
      <c r="C23" s="200"/>
      <c r="D23" s="200"/>
      <c r="E23" s="200"/>
      <c r="F23" s="200"/>
      <c r="G23" s="200"/>
      <c r="H23" s="200"/>
      <c r="I23" s="200"/>
      <c r="J23" s="200"/>
      <c r="K23" s="200"/>
      <c r="L23" s="200"/>
      <c r="M23" s="200"/>
      <c r="N23" s="200"/>
      <c r="O23" s="200"/>
      <c r="P23" s="200"/>
      <c r="Q23" s="200"/>
      <c r="R23" s="200"/>
      <c r="S23" s="200"/>
      <c r="T23" s="200"/>
      <c r="U23" s="200"/>
      <c r="V23" s="200"/>
      <c r="W23" s="200"/>
      <c r="X23" s="200"/>
    </row>
    <row r="24" spans="1:24">
      <c r="A24" s="200"/>
      <c r="B24" s="200"/>
      <c r="C24" s="200"/>
      <c r="D24" s="200"/>
      <c r="E24" s="200"/>
      <c r="F24" s="200"/>
      <c r="G24" s="200"/>
      <c r="H24" s="200"/>
      <c r="I24" s="200"/>
      <c r="J24" s="200"/>
      <c r="K24" s="200"/>
      <c r="L24" s="200"/>
      <c r="M24" s="200"/>
      <c r="N24" s="200"/>
      <c r="O24" s="200"/>
      <c r="P24" s="200"/>
      <c r="Q24" s="200"/>
      <c r="R24" s="200"/>
      <c r="S24" s="200"/>
      <c r="T24" s="200"/>
      <c r="U24" s="200"/>
      <c r="V24" s="200"/>
      <c r="W24" s="200"/>
      <c r="X24" s="200"/>
    </row>
    <row r="25" spans="1:24">
      <c r="A25" s="200"/>
      <c r="B25" s="200"/>
      <c r="C25" s="200"/>
      <c r="D25" s="200"/>
      <c r="E25" s="200"/>
      <c r="F25" s="200"/>
      <c r="G25" s="200"/>
      <c r="H25" s="200"/>
      <c r="I25" s="200"/>
      <c r="J25" s="200"/>
      <c r="K25" s="200"/>
      <c r="L25" s="200"/>
      <c r="M25" s="200"/>
      <c r="N25" s="200"/>
      <c r="O25" s="200"/>
      <c r="P25" s="200"/>
      <c r="Q25" s="200"/>
      <c r="R25" s="200"/>
      <c r="S25" s="200"/>
      <c r="T25" s="200"/>
      <c r="U25" s="200"/>
      <c r="V25" s="200"/>
      <c r="W25" s="200"/>
      <c r="X25" s="200"/>
    </row>
    <row r="26" spans="1:24">
      <c r="A26" s="200"/>
      <c r="B26" s="200"/>
      <c r="C26" s="200"/>
      <c r="D26" s="200"/>
      <c r="E26" s="200"/>
      <c r="F26" s="200"/>
      <c r="G26" s="200"/>
      <c r="H26" s="200"/>
      <c r="I26" s="200"/>
      <c r="J26" s="200"/>
      <c r="K26" s="200"/>
      <c r="L26" s="200"/>
      <c r="M26" s="200"/>
      <c r="N26" s="200"/>
      <c r="O26" s="200"/>
      <c r="P26" s="200"/>
      <c r="Q26" s="200"/>
      <c r="R26" s="200"/>
      <c r="S26" s="200"/>
      <c r="T26" s="200"/>
      <c r="U26" s="200"/>
      <c r="V26" s="200"/>
      <c r="W26" s="200"/>
      <c r="X26" s="200"/>
    </row>
    <row r="27" spans="1:24">
      <c r="A27" s="200"/>
      <c r="B27" s="200"/>
      <c r="C27" s="200"/>
      <c r="D27" s="200"/>
      <c r="E27" s="200"/>
      <c r="F27" s="200"/>
      <c r="G27" s="200"/>
      <c r="H27" s="200"/>
      <c r="I27" s="200"/>
      <c r="J27" s="200"/>
      <c r="K27" s="200"/>
      <c r="L27" s="200"/>
      <c r="M27" s="200"/>
      <c r="N27" s="200"/>
      <c r="O27" s="200"/>
      <c r="P27" s="200"/>
      <c r="Q27" s="200"/>
      <c r="R27" s="200"/>
      <c r="S27" s="200"/>
      <c r="T27" s="200"/>
      <c r="U27" s="200"/>
      <c r="V27" s="200"/>
      <c r="W27" s="200"/>
      <c r="X27" s="200"/>
    </row>
    <row r="28" spans="1:24">
      <c r="A28" s="200"/>
      <c r="B28" s="200"/>
      <c r="C28" s="200"/>
      <c r="D28" s="200"/>
      <c r="E28" s="200"/>
      <c r="F28" s="200"/>
      <c r="G28" s="200"/>
      <c r="H28" s="200"/>
      <c r="I28" s="200"/>
      <c r="J28" s="200"/>
      <c r="K28" s="200"/>
      <c r="L28" s="200"/>
      <c r="M28" s="200"/>
      <c r="N28" s="200"/>
      <c r="O28" s="200"/>
      <c r="P28" s="200"/>
      <c r="Q28" s="200"/>
      <c r="R28" s="200"/>
      <c r="S28" s="200"/>
      <c r="T28" s="200"/>
      <c r="U28" s="200"/>
      <c r="V28" s="200"/>
      <c r="W28" s="200"/>
      <c r="X28" s="200"/>
    </row>
    <row r="29" spans="1:24">
      <c r="A29" s="200"/>
      <c r="B29" s="200"/>
      <c r="C29" s="200"/>
      <c r="D29" s="200"/>
      <c r="E29" s="200"/>
      <c r="F29" s="200"/>
      <c r="G29" s="200"/>
      <c r="H29" s="200"/>
      <c r="I29" s="200"/>
      <c r="J29" s="200"/>
      <c r="K29" s="200"/>
      <c r="L29" s="200"/>
      <c r="M29" s="200"/>
      <c r="N29" s="200"/>
      <c r="O29" s="200"/>
      <c r="P29" s="200"/>
      <c r="Q29" s="200"/>
      <c r="R29" s="200"/>
      <c r="S29" s="200"/>
      <c r="T29" s="200"/>
      <c r="U29" s="200"/>
      <c r="V29" s="200"/>
      <c r="W29" s="200"/>
      <c r="X29" s="200"/>
    </row>
    <row r="30" spans="1:24">
      <c r="A30" s="200"/>
      <c r="B30" s="200"/>
      <c r="C30" s="200"/>
      <c r="D30" s="200"/>
      <c r="E30" s="200"/>
      <c r="F30" s="200"/>
      <c r="G30" s="200"/>
      <c r="H30" s="200"/>
      <c r="I30" s="200"/>
      <c r="J30" s="200"/>
      <c r="K30" s="200"/>
      <c r="L30" s="200"/>
      <c r="M30" s="200"/>
      <c r="N30" s="200"/>
      <c r="O30" s="200"/>
      <c r="P30" s="200"/>
      <c r="Q30" s="200"/>
      <c r="R30" s="200"/>
      <c r="S30" s="200"/>
      <c r="T30" s="200"/>
      <c r="U30" s="200"/>
      <c r="V30" s="200"/>
      <c r="W30" s="200"/>
      <c r="X30" s="200"/>
    </row>
    <row r="31" spans="1:24">
      <c r="A31" s="200"/>
      <c r="B31" s="200"/>
      <c r="C31" s="200"/>
      <c r="D31" s="200"/>
      <c r="E31" s="200"/>
      <c r="F31" s="200"/>
      <c r="G31" s="200"/>
      <c r="H31" s="200"/>
      <c r="I31" s="200"/>
      <c r="J31" s="200"/>
      <c r="K31" s="200"/>
      <c r="L31" s="200"/>
      <c r="M31" s="200"/>
      <c r="N31" s="200"/>
      <c r="O31" s="200"/>
      <c r="P31" s="200"/>
      <c r="Q31" s="200"/>
      <c r="R31" s="200"/>
      <c r="S31" s="200"/>
      <c r="T31" s="200"/>
      <c r="U31" s="200"/>
      <c r="V31" s="200"/>
      <c r="W31" s="200"/>
      <c r="X31" s="200"/>
    </row>
    <row r="32" spans="1:24">
      <c r="A32" s="200"/>
      <c r="B32" s="200"/>
      <c r="C32" s="200"/>
      <c r="D32" s="200"/>
      <c r="E32" s="200"/>
      <c r="F32" s="200"/>
      <c r="G32" s="200"/>
      <c r="H32" s="200"/>
      <c r="I32" s="200"/>
      <c r="J32" s="200"/>
      <c r="K32" s="200"/>
      <c r="L32" s="200"/>
      <c r="M32" s="200"/>
      <c r="N32" s="200"/>
      <c r="O32" s="200"/>
      <c r="P32" s="200"/>
      <c r="Q32" s="200"/>
      <c r="R32" s="200"/>
      <c r="S32" s="200"/>
      <c r="T32" s="200"/>
      <c r="U32" s="200"/>
      <c r="V32" s="200"/>
      <c r="W32" s="200"/>
      <c r="X32" s="200"/>
    </row>
    <row r="33" spans="1:24">
      <c r="A33" s="200"/>
      <c r="B33" s="200"/>
      <c r="C33" s="200"/>
      <c r="D33" s="200"/>
      <c r="E33" s="200"/>
      <c r="F33" s="200"/>
      <c r="G33" s="200"/>
      <c r="H33" s="200"/>
      <c r="I33" s="200"/>
      <c r="J33" s="200"/>
      <c r="K33" s="200"/>
      <c r="L33" s="200"/>
      <c r="M33" s="200"/>
      <c r="N33" s="200"/>
      <c r="O33" s="200"/>
      <c r="P33" s="200"/>
      <c r="Q33" s="200"/>
      <c r="R33" s="200"/>
      <c r="S33" s="200"/>
      <c r="T33" s="200"/>
      <c r="U33" s="200"/>
      <c r="V33" s="200"/>
      <c r="W33" s="200"/>
      <c r="X33" s="200"/>
    </row>
    <row r="34" spans="1:24">
      <c r="A34" s="200"/>
      <c r="B34" s="200"/>
      <c r="C34" s="200"/>
      <c r="D34" s="200"/>
      <c r="E34" s="200"/>
      <c r="F34" s="200"/>
      <c r="G34" s="200"/>
      <c r="H34" s="200"/>
      <c r="I34" s="200"/>
      <c r="J34" s="200"/>
      <c r="K34" s="200"/>
      <c r="L34" s="200"/>
      <c r="M34" s="200"/>
      <c r="N34" s="200"/>
      <c r="O34" s="200"/>
      <c r="P34" s="200"/>
      <c r="Q34" s="200"/>
      <c r="R34" s="200"/>
      <c r="S34" s="200"/>
      <c r="T34" s="200"/>
      <c r="U34" s="200"/>
      <c r="V34" s="200"/>
      <c r="W34" s="200"/>
      <c r="X34" s="200"/>
    </row>
    <row r="35" spans="1:24">
      <c r="A35" s="200"/>
      <c r="B35" s="200"/>
      <c r="C35" s="200"/>
      <c r="D35" s="200"/>
      <c r="E35" s="200"/>
      <c r="F35" s="200"/>
      <c r="G35" s="200"/>
      <c r="H35" s="200"/>
      <c r="I35" s="200"/>
      <c r="J35" s="200"/>
      <c r="K35" s="200"/>
      <c r="L35" s="200"/>
      <c r="M35" s="200"/>
      <c r="N35" s="200"/>
      <c r="O35" s="200"/>
      <c r="P35" s="200"/>
      <c r="Q35" s="200"/>
      <c r="R35" s="200"/>
      <c r="S35" s="200"/>
      <c r="T35" s="200"/>
      <c r="U35" s="200"/>
      <c r="V35" s="200"/>
      <c r="W35" s="200"/>
      <c r="X35" s="200"/>
    </row>
    <row r="36" spans="1:24">
      <c r="A36" s="200"/>
      <c r="B36" s="200"/>
      <c r="C36" s="200"/>
      <c r="D36" s="200"/>
      <c r="E36" s="200"/>
      <c r="F36" s="200"/>
      <c r="G36" s="200"/>
      <c r="H36" s="200"/>
      <c r="I36" s="200"/>
      <c r="J36" s="200"/>
      <c r="K36" s="200"/>
      <c r="L36" s="200"/>
      <c r="M36" s="200"/>
      <c r="N36" s="200"/>
      <c r="O36" s="200"/>
      <c r="P36" s="200"/>
      <c r="Q36" s="200"/>
      <c r="R36" s="200"/>
      <c r="S36" s="200"/>
      <c r="T36" s="200"/>
      <c r="U36" s="200"/>
      <c r="V36" s="200"/>
      <c r="W36" s="200"/>
      <c r="X36" s="200"/>
    </row>
    <row r="37" spans="1:24">
      <c r="A37" s="200"/>
      <c r="B37" s="200"/>
      <c r="C37" s="200"/>
      <c r="D37" s="200"/>
      <c r="E37" s="200"/>
      <c r="F37" s="200"/>
      <c r="G37" s="200"/>
      <c r="H37" s="200"/>
      <c r="I37" s="200"/>
      <c r="J37" s="200"/>
      <c r="K37" s="200"/>
      <c r="L37" s="200"/>
      <c r="M37" s="200"/>
      <c r="N37" s="200"/>
      <c r="O37" s="200"/>
      <c r="P37" s="200"/>
      <c r="Q37" s="200"/>
      <c r="R37" s="200"/>
      <c r="S37" s="200"/>
      <c r="T37" s="200"/>
      <c r="U37" s="200"/>
      <c r="V37" s="200"/>
      <c r="W37" s="200"/>
      <c r="X37" s="200"/>
    </row>
    <row r="38" spans="1:24">
      <c r="A38" s="200"/>
      <c r="B38" s="200"/>
      <c r="C38" s="200"/>
      <c r="D38" s="200"/>
      <c r="E38" s="200"/>
      <c r="F38" s="200"/>
      <c r="G38" s="200"/>
      <c r="H38" s="200"/>
      <c r="I38" s="200"/>
      <c r="J38" s="200"/>
      <c r="K38" s="200"/>
      <c r="L38" s="200"/>
      <c r="M38" s="200"/>
      <c r="N38" s="200"/>
      <c r="O38" s="200"/>
      <c r="P38" s="200"/>
      <c r="Q38" s="200"/>
      <c r="R38" s="200"/>
      <c r="S38" s="200"/>
      <c r="T38" s="200"/>
      <c r="U38" s="200"/>
      <c r="V38" s="200"/>
      <c r="W38" s="200"/>
      <c r="X38" s="200"/>
    </row>
    <row r="39" spans="1:24">
      <c r="A39" s="200"/>
      <c r="B39" s="200"/>
      <c r="C39" s="200"/>
      <c r="D39" s="200"/>
      <c r="E39" s="200"/>
      <c r="F39" s="200"/>
      <c r="G39" s="200"/>
      <c r="H39" s="200"/>
      <c r="I39" s="200"/>
      <c r="J39" s="200"/>
      <c r="K39" s="200"/>
      <c r="L39" s="200"/>
      <c r="M39" s="200"/>
      <c r="N39" s="200"/>
      <c r="O39" s="200"/>
      <c r="P39" s="200"/>
      <c r="Q39" s="200"/>
      <c r="R39" s="200"/>
      <c r="S39" s="200"/>
      <c r="T39" s="200"/>
      <c r="U39" s="200"/>
      <c r="V39" s="200"/>
      <c r="W39" s="200"/>
      <c r="X39" s="200"/>
    </row>
    <row r="40" spans="1:24">
      <c r="A40" s="200"/>
      <c r="B40" s="200"/>
      <c r="C40" s="200"/>
      <c r="D40" s="200"/>
      <c r="E40" s="200"/>
      <c r="F40" s="200"/>
      <c r="G40" s="200"/>
      <c r="H40" s="200"/>
      <c r="I40" s="200"/>
      <c r="J40" s="200"/>
      <c r="K40" s="200"/>
      <c r="L40" s="200"/>
      <c r="M40" s="200"/>
      <c r="N40" s="200"/>
      <c r="O40" s="200"/>
      <c r="P40" s="200"/>
      <c r="Q40" s="200"/>
      <c r="R40" s="200"/>
      <c r="S40" s="200"/>
      <c r="T40" s="200"/>
      <c r="U40" s="200"/>
      <c r="V40" s="200"/>
      <c r="W40" s="200"/>
      <c r="X40" s="200"/>
    </row>
    <row r="41" spans="1:24">
      <c r="A41" s="200"/>
      <c r="B41" s="200"/>
      <c r="C41" s="200"/>
      <c r="D41" s="200"/>
      <c r="E41" s="200"/>
      <c r="F41" s="200"/>
      <c r="G41" s="200"/>
      <c r="H41" s="200"/>
      <c r="I41" s="200"/>
      <c r="J41" s="200"/>
      <c r="K41" s="200"/>
      <c r="L41" s="200"/>
      <c r="M41" s="200"/>
      <c r="N41" s="200"/>
      <c r="O41" s="200"/>
      <c r="P41" s="200"/>
      <c r="Q41" s="200"/>
      <c r="R41" s="200"/>
      <c r="S41" s="200"/>
      <c r="T41" s="200"/>
      <c r="U41" s="200"/>
      <c r="V41" s="200"/>
      <c r="W41" s="200"/>
      <c r="X41" s="200"/>
    </row>
    <row r="42" spans="1:24">
      <c r="A42" s="200"/>
      <c r="B42" s="200"/>
      <c r="C42" s="200"/>
      <c r="D42" s="200"/>
      <c r="E42" s="200"/>
      <c r="F42" s="200"/>
      <c r="G42" s="200"/>
      <c r="H42" s="200"/>
      <c r="I42" s="200"/>
      <c r="J42" s="200"/>
      <c r="K42" s="200"/>
      <c r="L42" s="200"/>
      <c r="M42" s="200"/>
      <c r="N42" s="200"/>
      <c r="O42" s="200"/>
      <c r="P42" s="200"/>
      <c r="Q42" s="200"/>
      <c r="R42" s="200"/>
      <c r="S42" s="200"/>
      <c r="T42" s="200"/>
      <c r="U42" s="200"/>
      <c r="V42" s="200"/>
      <c r="W42" s="200"/>
      <c r="X42" s="200"/>
    </row>
    <row r="43" spans="1:24">
      <c r="A43" s="200"/>
      <c r="B43" s="200"/>
      <c r="C43" s="200"/>
      <c r="D43" s="200"/>
      <c r="E43" s="200"/>
      <c r="F43" s="200"/>
      <c r="G43" s="200"/>
      <c r="H43" s="200"/>
      <c r="I43" s="200"/>
      <c r="J43" s="200"/>
      <c r="K43" s="200"/>
      <c r="L43" s="200"/>
      <c r="M43" s="200"/>
      <c r="N43" s="200"/>
      <c r="O43" s="200"/>
      <c r="P43" s="200"/>
      <c r="Q43" s="200"/>
      <c r="R43" s="200"/>
      <c r="S43" s="200"/>
      <c r="T43" s="200"/>
      <c r="U43" s="200"/>
      <c r="V43" s="200"/>
      <c r="W43" s="200"/>
      <c r="X43" s="200"/>
    </row>
    <row r="44" spans="1:24">
      <c r="A44" s="200"/>
      <c r="B44" s="200"/>
      <c r="C44" s="200"/>
      <c r="D44" s="200"/>
      <c r="E44" s="200"/>
      <c r="F44" s="200"/>
      <c r="G44" s="200"/>
      <c r="H44" s="200"/>
      <c r="I44" s="200"/>
      <c r="J44" s="200"/>
      <c r="K44" s="200"/>
      <c r="L44" s="200"/>
      <c r="M44" s="200"/>
      <c r="N44" s="200"/>
      <c r="O44" s="200"/>
      <c r="P44" s="200"/>
      <c r="Q44" s="200"/>
      <c r="R44" s="200"/>
      <c r="S44" s="200"/>
      <c r="T44" s="200"/>
      <c r="U44" s="200"/>
      <c r="V44" s="200"/>
      <c r="W44" s="200"/>
      <c r="X44" s="200"/>
    </row>
    <row r="45" spans="1:24">
      <c r="A45" s="200"/>
      <c r="B45" s="200"/>
      <c r="C45" s="200"/>
      <c r="D45" s="200"/>
      <c r="E45" s="200"/>
      <c r="F45" s="200"/>
      <c r="G45" s="200"/>
      <c r="H45" s="200"/>
      <c r="I45" s="200"/>
      <c r="J45" s="200"/>
      <c r="K45" s="200"/>
      <c r="L45" s="200"/>
      <c r="M45" s="200"/>
      <c r="N45" s="200"/>
      <c r="O45" s="200"/>
      <c r="P45" s="200"/>
      <c r="Q45" s="200"/>
      <c r="R45" s="200"/>
      <c r="S45" s="200"/>
      <c r="T45" s="200"/>
      <c r="U45" s="200"/>
      <c r="V45" s="200"/>
      <c r="W45" s="200"/>
      <c r="X45" s="200"/>
    </row>
    <row r="46" spans="1:24">
      <c r="A46" s="200"/>
      <c r="B46" s="200"/>
      <c r="C46" s="200"/>
      <c r="D46" s="200"/>
      <c r="E46" s="200"/>
      <c r="F46" s="200"/>
      <c r="G46" s="200"/>
      <c r="H46" s="200"/>
      <c r="I46" s="200"/>
      <c r="J46" s="200"/>
      <c r="K46" s="200"/>
      <c r="L46" s="200"/>
      <c r="M46" s="200"/>
      <c r="N46" s="200"/>
      <c r="O46" s="200"/>
      <c r="P46" s="200"/>
      <c r="Q46" s="200"/>
      <c r="R46" s="200"/>
      <c r="S46" s="200"/>
      <c r="T46" s="200"/>
      <c r="U46" s="200"/>
      <c r="V46" s="200"/>
      <c r="W46" s="200"/>
      <c r="X46" s="200"/>
    </row>
    <row r="47" spans="1:24">
      <c r="A47" s="200"/>
      <c r="B47" s="200"/>
      <c r="C47" s="200"/>
      <c r="D47" s="200"/>
      <c r="E47" s="200"/>
      <c r="F47" s="200"/>
      <c r="G47" s="200"/>
      <c r="H47" s="200"/>
      <c r="I47" s="200"/>
      <c r="J47" s="200"/>
      <c r="K47" s="200"/>
      <c r="L47" s="200"/>
      <c r="M47" s="200"/>
      <c r="N47" s="200"/>
      <c r="O47" s="200"/>
      <c r="P47" s="200"/>
      <c r="Q47" s="200"/>
      <c r="R47" s="200"/>
      <c r="S47" s="200"/>
      <c r="T47" s="200"/>
      <c r="U47" s="200"/>
      <c r="V47" s="200"/>
      <c r="W47" s="200"/>
      <c r="X47" s="200"/>
    </row>
    <row r="48" spans="1:24">
      <c r="A48" s="200"/>
      <c r="B48" s="200"/>
      <c r="C48" s="200"/>
      <c r="D48" s="200"/>
      <c r="E48" s="200"/>
      <c r="F48" s="200"/>
      <c r="G48" s="200"/>
      <c r="H48" s="200"/>
      <c r="I48" s="200"/>
      <c r="J48" s="200"/>
      <c r="K48" s="200"/>
      <c r="L48" s="200"/>
      <c r="M48" s="200"/>
      <c r="N48" s="200"/>
      <c r="O48" s="200"/>
      <c r="P48" s="200"/>
      <c r="Q48" s="200"/>
      <c r="R48" s="200"/>
      <c r="S48" s="200"/>
      <c r="T48" s="200"/>
      <c r="U48" s="200"/>
      <c r="V48" s="200"/>
      <c r="W48" s="200"/>
      <c r="X48" s="200"/>
    </row>
    <row r="49" spans="1:24">
      <c r="A49" s="200"/>
      <c r="B49" s="200"/>
      <c r="C49" s="200"/>
      <c r="D49" s="200"/>
      <c r="E49" s="200"/>
      <c r="F49" s="200"/>
      <c r="G49" s="200"/>
      <c r="H49" s="200"/>
      <c r="I49" s="200"/>
      <c r="J49" s="200"/>
      <c r="K49" s="200"/>
      <c r="L49" s="200"/>
      <c r="M49" s="200"/>
      <c r="N49" s="200"/>
      <c r="O49" s="200"/>
      <c r="P49" s="200"/>
      <c r="Q49" s="200"/>
      <c r="R49" s="200"/>
      <c r="S49" s="200"/>
      <c r="T49" s="200"/>
      <c r="U49" s="200"/>
      <c r="V49" s="200"/>
      <c r="W49" s="200"/>
      <c r="X49" s="200"/>
    </row>
    <row r="50" spans="1:24">
      <c r="A50" s="200"/>
      <c r="B50" s="200"/>
      <c r="C50" s="200"/>
      <c r="D50" s="200"/>
      <c r="E50" s="200"/>
      <c r="F50" s="200"/>
      <c r="G50" s="200"/>
      <c r="H50" s="200"/>
      <c r="I50" s="200"/>
      <c r="J50" s="200"/>
      <c r="K50" s="200"/>
      <c r="L50" s="200"/>
      <c r="M50" s="200"/>
      <c r="N50" s="200"/>
      <c r="O50" s="200"/>
      <c r="P50" s="200"/>
      <c r="Q50" s="200"/>
      <c r="R50" s="200"/>
      <c r="S50" s="200"/>
      <c r="T50" s="200"/>
      <c r="U50" s="200"/>
      <c r="V50" s="200"/>
      <c r="W50" s="200"/>
      <c r="X50" s="200"/>
    </row>
  </sheetData>
  <mergeCells count="1">
    <mergeCell ref="A1:X50"/>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60"/>
  <sheetViews>
    <sheetView zoomScale="70" zoomScaleNormal="70" topLeftCell="A70" workbookViewId="0">
      <pane xSplit="1" topLeftCell="B1" activePane="topRight" state="frozen"/>
      <selection/>
      <selection pane="topRight" activeCell="A119" sqref="$A119:$XFD119"/>
    </sheetView>
  </sheetViews>
  <sheetFormatPr defaultColWidth="9" defaultRowHeight="13.5"/>
  <cols>
    <col min="1" max="1" width="8.875" style="2" customWidth="1"/>
    <col min="2" max="2" width="13.525" style="2" customWidth="1"/>
    <col min="3" max="8" width="12" style="2" customWidth="1"/>
    <col min="9" max="9" width="14" style="2" customWidth="1"/>
    <col min="10" max="10" width="12" style="2" customWidth="1"/>
    <col min="11" max="11" width="11" style="2" customWidth="1"/>
    <col min="12" max="13" width="12" style="2" customWidth="1"/>
    <col min="14" max="14" width="16.125" style="2" customWidth="1"/>
    <col min="15" max="15" width="12" style="2" customWidth="1"/>
    <col min="16" max="16" width="14" style="2" customWidth="1"/>
    <col min="17" max="17" width="12" style="2" customWidth="1"/>
    <col min="18" max="18" width="16.125" style="2" customWidth="1"/>
    <col min="19" max="22" width="12" style="2" customWidth="1"/>
    <col min="23" max="23" width="75.7333333333333" style="2" customWidth="1"/>
    <col min="24" max="16384" width="9" style="2"/>
  </cols>
  <sheetData>
    <row r="1" spans="1:1">
      <c r="A1" s="2" t="s">
        <v>1</v>
      </c>
    </row>
    <row r="3" spans="1:16">
      <c r="A3" s="2" t="s">
        <v>428</v>
      </c>
      <c r="B3" s="8" t="s">
        <v>805</v>
      </c>
      <c r="C3" s="8"/>
      <c r="D3" s="8"/>
      <c r="E3" s="8"/>
      <c r="F3" s="8"/>
      <c r="G3" s="8"/>
      <c r="H3" s="8"/>
      <c r="I3" s="8"/>
      <c r="J3" s="8"/>
      <c r="K3" s="8"/>
      <c r="L3" s="8"/>
      <c r="M3" s="8"/>
      <c r="N3" s="8"/>
      <c r="O3" s="8"/>
      <c r="P3" s="8"/>
    </row>
    <row r="4" spans="1:24">
      <c r="A4" s="2" t="s">
        <v>806</v>
      </c>
      <c r="B4" s="2" t="s">
        <v>807</v>
      </c>
      <c r="W4" s="10" t="s">
        <v>808</v>
      </c>
      <c r="X4" s="2" t="s">
        <v>809</v>
      </c>
    </row>
    <row r="5" spans="1:24">
      <c r="A5" s="2" t="s">
        <v>41</v>
      </c>
      <c r="B5" s="9" t="s">
        <v>810</v>
      </c>
      <c r="W5" s="10" t="s">
        <v>811</v>
      </c>
      <c r="X5" s="2" t="s">
        <v>812</v>
      </c>
    </row>
    <row r="6" spans="1:24">
      <c r="A6" s="2" t="s">
        <v>43</v>
      </c>
      <c r="B6" s="9" t="s">
        <v>813</v>
      </c>
      <c r="W6" s="10"/>
      <c r="X6" s="2" t="s">
        <v>812</v>
      </c>
    </row>
    <row r="7" spans="1:24">
      <c r="A7" s="2" t="s">
        <v>814</v>
      </c>
      <c r="B7" s="9" t="s">
        <v>815</v>
      </c>
      <c r="W7" s="10" t="s">
        <v>816</v>
      </c>
      <c r="X7" s="2" t="s">
        <v>812</v>
      </c>
    </row>
    <row r="8" spans="1:24">
      <c r="A8" s="2" t="s">
        <v>817</v>
      </c>
      <c r="C8" s="2" t="s">
        <v>818</v>
      </c>
      <c r="W8" s="10" t="s">
        <v>819</v>
      </c>
      <c r="X8" s="2" t="s">
        <v>812</v>
      </c>
    </row>
    <row r="9" spans="1:24">
      <c r="A9" s="2" t="s">
        <v>820</v>
      </c>
      <c r="C9" s="2" t="s">
        <v>821</v>
      </c>
      <c r="W9" s="10"/>
      <c r="X9" s="2" t="s">
        <v>812</v>
      </c>
    </row>
    <row r="10" spans="1:24">
      <c r="A10" s="2" t="s">
        <v>822</v>
      </c>
      <c r="C10" s="2" t="s">
        <v>823</v>
      </c>
      <c r="W10" s="10" t="s">
        <v>824</v>
      </c>
      <c r="X10" s="2" t="s">
        <v>812</v>
      </c>
    </row>
    <row r="11" spans="1:24">
      <c r="A11" s="2" t="s">
        <v>517</v>
      </c>
      <c r="D11" s="2" t="s">
        <v>825</v>
      </c>
      <c r="W11" s="10" t="s">
        <v>826</v>
      </c>
      <c r="X11" s="2" t="s">
        <v>812</v>
      </c>
    </row>
    <row r="12" spans="1:24">
      <c r="A12" s="2" t="s">
        <v>827</v>
      </c>
      <c r="D12" s="2" t="s">
        <v>828</v>
      </c>
      <c r="W12" s="10"/>
      <c r="X12" s="2" t="s">
        <v>812</v>
      </c>
    </row>
    <row r="13" spans="1:24">
      <c r="A13" s="2" t="s">
        <v>642</v>
      </c>
      <c r="E13" s="2" t="s">
        <v>829</v>
      </c>
      <c r="W13" s="10" t="s">
        <v>830</v>
      </c>
      <c r="X13" s="2" t="s">
        <v>812</v>
      </c>
    </row>
    <row r="14" spans="1:24">
      <c r="A14" s="2" t="s">
        <v>648</v>
      </c>
      <c r="D14" s="2" t="s">
        <v>831</v>
      </c>
      <c r="W14" s="10" t="s">
        <v>832</v>
      </c>
      <c r="X14" s="2" t="s">
        <v>812</v>
      </c>
    </row>
    <row r="15" spans="1:24">
      <c r="A15" s="2" t="s">
        <v>465</v>
      </c>
      <c r="F15" s="2" t="s">
        <v>833</v>
      </c>
      <c r="W15" s="10" t="s">
        <v>834</v>
      </c>
      <c r="X15" s="2" t="s">
        <v>812</v>
      </c>
    </row>
    <row r="16" spans="1:24">
      <c r="A16" s="2" t="s">
        <v>835</v>
      </c>
      <c r="E16" s="2" t="s">
        <v>836</v>
      </c>
      <c r="W16" s="10"/>
      <c r="X16" s="2" t="s">
        <v>812</v>
      </c>
    </row>
    <row r="17" spans="1:24">
      <c r="A17" s="2" t="s">
        <v>837</v>
      </c>
      <c r="G17" s="2" t="s">
        <v>838</v>
      </c>
      <c r="W17" s="10" t="s">
        <v>839</v>
      </c>
      <c r="X17" s="2" t="s">
        <v>812</v>
      </c>
    </row>
    <row r="18" spans="1:24">
      <c r="A18" s="2" t="s">
        <v>649</v>
      </c>
      <c r="E18" s="2" t="s">
        <v>840</v>
      </c>
      <c r="W18" s="10" t="s">
        <v>841</v>
      </c>
      <c r="X18" s="2" t="s">
        <v>812</v>
      </c>
    </row>
    <row r="19" spans="1:24">
      <c r="A19" s="2" t="s">
        <v>842</v>
      </c>
      <c r="F19" s="2" t="s">
        <v>843</v>
      </c>
      <c r="H19" s="2" t="s">
        <v>844</v>
      </c>
      <c r="W19" s="10" t="s">
        <v>845</v>
      </c>
      <c r="X19" s="2" t="s">
        <v>812</v>
      </c>
    </row>
    <row r="20" spans="1:24">
      <c r="A20" s="2" t="s">
        <v>846</v>
      </c>
      <c r="G20" s="2" t="s">
        <v>847</v>
      </c>
      <c r="W20" s="10" t="s">
        <v>848</v>
      </c>
      <c r="X20" s="2" t="s">
        <v>812</v>
      </c>
    </row>
    <row r="21" spans="1:24">
      <c r="A21" s="2" t="s">
        <v>655</v>
      </c>
      <c r="H21" s="2" t="s">
        <v>849</v>
      </c>
      <c r="W21" s="10"/>
      <c r="X21" s="2" t="s">
        <v>812</v>
      </c>
    </row>
    <row r="22" spans="1:24">
      <c r="A22" s="2" t="s">
        <v>518</v>
      </c>
      <c r="G22" s="2" t="s">
        <v>850</v>
      </c>
      <c r="H22" s="2" t="s">
        <v>851</v>
      </c>
      <c r="I22" s="2" t="s">
        <v>852</v>
      </c>
      <c r="W22" s="10" t="s">
        <v>853</v>
      </c>
      <c r="X22" s="2" t="s">
        <v>812</v>
      </c>
    </row>
    <row r="23" spans="1:24">
      <c r="A23" s="2" t="s">
        <v>854</v>
      </c>
      <c r="F23" s="2" t="s">
        <v>855</v>
      </c>
      <c r="I23" s="2" t="s">
        <v>856</v>
      </c>
      <c r="J23" s="2" t="s">
        <v>857</v>
      </c>
      <c r="K23" s="2" t="s">
        <v>858</v>
      </c>
      <c r="W23" s="10" t="s">
        <v>859</v>
      </c>
      <c r="X23" s="2" t="s">
        <v>812</v>
      </c>
    </row>
    <row r="24" spans="1:24">
      <c r="A24" s="2" t="s">
        <v>860</v>
      </c>
      <c r="I24" s="2" t="s">
        <v>861</v>
      </c>
      <c r="J24" s="2" t="s">
        <v>862</v>
      </c>
      <c r="L24" s="2" t="s">
        <v>863</v>
      </c>
      <c r="W24" s="10" t="s">
        <v>864</v>
      </c>
      <c r="X24" s="2" t="s">
        <v>812</v>
      </c>
    </row>
    <row r="25" spans="1:24">
      <c r="A25" s="2" t="s">
        <v>865</v>
      </c>
      <c r="J25" s="2" t="s">
        <v>866</v>
      </c>
      <c r="K25" s="2" t="s">
        <v>867</v>
      </c>
      <c r="L25" s="2" t="s">
        <v>868</v>
      </c>
      <c r="W25" s="10"/>
      <c r="X25" s="2" t="s">
        <v>812</v>
      </c>
    </row>
    <row r="26" spans="1:24">
      <c r="A26" s="2" t="s">
        <v>869</v>
      </c>
      <c r="L26" s="2" t="s">
        <v>870</v>
      </c>
      <c r="W26" s="10"/>
      <c r="X26" s="2" t="s">
        <v>812</v>
      </c>
    </row>
    <row r="27" spans="1:24">
      <c r="A27" s="2" t="s">
        <v>871</v>
      </c>
      <c r="K27" s="2" t="s">
        <v>872</v>
      </c>
      <c r="M27" s="2" t="s">
        <v>873</v>
      </c>
      <c r="N27" s="2" t="s">
        <v>874</v>
      </c>
      <c r="W27" s="10" t="s">
        <v>875</v>
      </c>
      <c r="X27" s="2" t="s">
        <v>812</v>
      </c>
    </row>
    <row r="28" spans="1:24">
      <c r="A28" s="2" t="s">
        <v>876</v>
      </c>
      <c r="K28" s="2" t="s">
        <v>877</v>
      </c>
      <c r="N28" s="2" t="s">
        <v>878</v>
      </c>
      <c r="P28" s="2" t="s">
        <v>879</v>
      </c>
      <c r="W28" s="10" t="s">
        <v>880</v>
      </c>
      <c r="X28" s="2" t="s">
        <v>812</v>
      </c>
    </row>
    <row r="29" spans="1:24">
      <c r="A29" s="2" t="s">
        <v>881</v>
      </c>
      <c r="M29" s="2" t="s">
        <v>882</v>
      </c>
      <c r="W29" s="10"/>
      <c r="X29" s="2" t="s">
        <v>812</v>
      </c>
    </row>
    <row r="30" spans="1:24">
      <c r="A30" s="2" t="s">
        <v>883</v>
      </c>
      <c r="N30" s="2" t="s">
        <v>884</v>
      </c>
      <c r="W30" s="10" t="s">
        <v>885</v>
      </c>
      <c r="X30" s="2" t="s">
        <v>812</v>
      </c>
    </row>
    <row r="31" spans="1:24">
      <c r="A31" s="2" t="s">
        <v>28</v>
      </c>
      <c r="M31" s="2" t="s">
        <v>886</v>
      </c>
      <c r="O31" s="2" t="s">
        <v>887</v>
      </c>
      <c r="W31" s="10" t="s">
        <v>888</v>
      </c>
      <c r="X31" s="2" t="s">
        <v>812</v>
      </c>
    </row>
    <row r="32" spans="1:24">
      <c r="A32" s="2" t="s">
        <v>31</v>
      </c>
      <c r="O32" s="2" t="s">
        <v>889</v>
      </c>
      <c r="W32" s="10"/>
      <c r="X32" s="2" t="s">
        <v>812</v>
      </c>
    </row>
    <row r="33" spans="1:24">
      <c r="A33" s="2" t="s">
        <v>890</v>
      </c>
      <c r="K33" s="2" t="s">
        <v>891</v>
      </c>
      <c r="W33" s="10"/>
      <c r="X33" s="2" t="s">
        <v>812</v>
      </c>
    </row>
    <row r="34" spans="1:24">
      <c r="A34" s="2" t="s">
        <v>892</v>
      </c>
      <c r="O34" s="2" t="s">
        <v>893</v>
      </c>
      <c r="W34" s="10"/>
      <c r="X34" s="2" t="s">
        <v>812</v>
      </c>
    </row>
    <row r="35" spans="1:24">
      <c r="A35" s="2" t="s">
        <v>33</v>
      </c>
      <c r="K35" s="2" t="s">
        <v>894</v>
      </c>
      <c r="W35" s="10" t="s">
        <v>895</v>
      </c>
      <c r="X35" s="2" t="s">
        <v>812</v>
      </c>
    </row>
    <row r="36" spans="1:24">
      <c r="A36" s="2" t="s">
        <v>896</v>
      </c>
      <c r="O36" s="2" t="s">
        <v>897</v>
      </c>
      <c r="W36" s="10" t="s">
        <v>898</v>
      </c>
      <c r="X36" s="2" t="s">
        <v>812</v>
      </c>
    </row>
    <row r="37" spans="1:24">
      <c r="A37" s="2" t="s">
        <v>35</v>
      </c>
      <c r="P37" s="2" t="s">
        <v>899</v>
      </c>
      <c r="W37" s="10" t="s">
        <v>900</v>
      </c>
      <c r="X37" s="2" t="s">
        <v>812</v>
      </c>
    </row>
    <row r="38" spans="1:24">
      <c r="A38" s="2" t="s">
        <v>901</v>
      </c>
      <c r="O38" s="2" t="s">
        <v>902</v>
      </c>
      <c r="W38" s="10"/>
      <c r="X38" s="2" t="s">
        <v>812</v>
      </c>
    </row>
    <row r="39" spans="1:24">
      <c r="A39" s="2" t="s">
        <v>903</v>
      </c>
      <c r="P39" s="2" t="s">
        <v>904</v>
      </c>
      <c r="W39" s="10" t="s">
        <v>905</v>
      </c>
      <c r="X39" s="2" t="s">
        <v>1</v>
      </c>
    </row>
    <row r="40" spans="1:24">
      <c r="A40" s="2" t="s">
        <v>906</v>
      </c>
      <c r="O40" s="2" t="s">
        <v>907</v>
      </c>
      <c r="W40" s="10" t="s">
        <v>908</v>
      </c>
      <c r="X40" s="2" t="s">
        <v>1</v>
      </c>
    </row>
    <row r="41" spans="1:24">
      <c r="A41" s="2" t="s">
        <v>39</v>
      </c>
      <c r="P41" s="2" t="s">
        <v>909</v>
      </c>
      <c r="W41" s="10" t="s">
        <v>910</v>
      </c>
      <c r="X41" s="2" t="s">
        <v>1</v>
      </c>
    </row>
    <row r="42" spans="1:24">
      <c r="A42" s="2" t="s">
        <v>911</v>
      </c>
      <c r="P42" s="2" t="s">
        <v>912</v>
      </c>
      <c r="W42" s="10" t="s">
        <v>913</v>
      </c>
      <c r="X42" s="2" t="s">
        <v>809</v>
      </c>
    </row>
    <row r="47" spans="1:19">
      <c r="A47" s="2" t="s">
        <v>428</v>
      </c>
      <c r="B47" s="8" t="s">
        <v>805</v>
      </c>
      <c r="C47" s="8"/>
      <c r="D47" s="8"/>
      <c r="E47" s="8"/>
      <c r="F47" s="8"/>
      <c r="G47" s="8"/>
      <c r="H47" s="8"/>
      <c r="I47" s="8"/>
      <c r="J47" s="8"/>
      <c r="K47" s="8"/>
      <c r="L47" s="8"/>
      <c r="M47" s="8"/>
      <c r="N47" s="8"/>
      <c r="O47" s="8"/>
      <c r="P47" s="8"/>
      <c r="Q47" s="8"/>
      <c r="R47" s="8"/>
      <c r="S47" s="8"/>
    </row>
    <row r="48" spans="1:24">
      <c r="A48" s="2" t="s">
        <v>806</v>
      </c>
      <c r="B48" s="2" t="s">
        <v>807</v>
      </c>
      <c r="W48" s="2" t="s">
        <v>914</v>
      </c>
      <c r="X48" s="2" t="s">
        <v>915</v>
      </c>
    </row>
    <row r="49" spans="1:24">
      <c r="A49" s="2" t="s">
        <v>41</v>
      </c>
      <c r="B49" s="2" t="s">
        <v>916</v>
      </c>
      <c r="W49" s="2" t="s">
        <v>917</v>
      </c>
      <c r="X49" s="2" t="s">
        <v>918</v>
      </c>
    </row>
    <row r="50" spans="1:24">
      <c r="A50" s="2" t="s">
        <v>43</v>
      </c>
      <c r="B50" s="2" t="s">
        <v>919</v>
      </c>
      <c r="X50" s="2" t="s">
        <v>918</v>
      </c>
    </row>
    <row r="51" spans="1:24">
      <c r="A51" s="2" t="s">
        <v>814</v>
      </c>
      <c r="B51" s="2" t="s">
        <v>920</v>
      </c>
      <c r="W51" s="2" t="s">
        <v>921</v>
      </c>
      <c r="X51" s="2" t="s">
        <v>918</v>
      </c>
    </row>
    <row r="52" spans="1:24">
      <c r="A52" s="2" t="s">
        <v>922</v>
      </c>
      <c r="C52" s="2" t="s">
        <v>923</v>
      </c>
      <c r="W52" s="2" t="s">
        <v>924</v>
      </c>
      <c r="X52" s="2" t="s">
        <v>918</v>
      </c>
    </row>
    <row r="53" spans="1:24">
      <c r="A53" s="2" t="s">
        <v>464</v>
      </c>
      <c r="C53" s="2" t="s">
        <v>925</v>
      </c>
      <c r="W53" s="2" t="s">
        <v>926</v>
      </c>
      <c r="X53" s="2" t="s">
        <v>918</v>
      </c>
    </row>
    <row r="54" spans="1:24">
      <c r="A54" s="2" t="s">
        <v>927</v>
      </c>
      <c r="D54" s="2" t="s">
        <v>928</v>
      </c>
      <c r="W54" s="2" t="s">
        <v>929</v>
      </c>
      <c r="X54" s="2" t="s">
        <v>918</v>
      </c>
    </row>
    <row r="55" spans="1:24">
      <c r="A55" s="2" t="s">
        <v>627</v>
      </c>
      <c r="C55" s="2" t="s">
        <v>930</v>
      </c>
      <c r="W55" s="2" t="s">
        <v>931</v>
      </c>
      <c r="X55" s="2" t="s">
        <v>918</v>
      </c>
    </row>
    <row r="56" spans="1:24">
      <c r="A56" s="2" t="s">
        <v>817</v>
      </c>
      <c r="D56" s="2" t="s">
        <v>932</v>
      </c>
      <c r="E56" s="2" t="s">
        <v>933</v>
      </c>
      <c r="W56" s="2" t="s">
        <v>934</v>
      </c>
      <c r="X56" s="2" t="s">
        <v>918</v>
      </c>
    </row>
    <row r="57" spans="1:24">
      <c r="A57" s="2" t="s">
        <v>935</v>
      </c>
      <c r="E57" s="2" t="s">
        <v>936</v>
      </c>
      <c r="X57" s="2" t="s">
        <v>918</v>
      </c>
    </row>
    <row r="58" spans="1:24">
      <c r="A58" s="2" t="s">
        <v>820</v>
      </c>
      <c r="D58" s="2" t="s">
        <v>937</v>
      </c>
      <c r="F58" s="2" t="s">
        <v>938</v>
      </c>
      <c r="W58" s="2" t="s">
        <v>939</v>
      </c>
      <c r="X58" s="2" t="s">
        <v>918</v>
      </c>
    </row>
    <row r="59" spans="1:24">
      <c r="A59" s="2" t="s">
        <v>940</v>
      </c>
      <c r="E59" s="2" t="s">
        <v>941</v>
      </c>
      <c r="W59" s="2" t="s">
        <v>942</v>
      </c>
      <c r="X59" s="2" t="s">
        <v>918</v>
      </c>
    </row>
    <row r="60" spans="1:24">
      <c r="A60" s="2" t="s">
        <v>822</v>
      </c>
      <c r="F60" s="2" t="s">
        <v>943</v>
      </c>
      <c r="G60" s="2" t="s">
        <v>944</v>
      </c>
      <c r="W60" s="2" t="s">
        <v>945</v>
      </c>
      <c r="X60" s="2" t="s">
        <v>918</v>
      </c>
    </row>
    <row r="61" spans="1:24">
      <c r="A61" s="2" t="s">
        <v>827</v>
      </c>
      <c r="F61" s="2" t="s">
        <v>946</v>
      </c>
      <c r="X61" s="2" t="s">
        <v>918</v>
      </c>
    </row>
    <row r="62" spans="1:24">
      <c r="A62" s="2" t="s">
        <v>642</v>
      </c>
      <c r="G62" s="2" t="s">
        <v>947</v>
      </c>
      <c r="X62" s="2" t="s">
        <v>918</v>
      </c>
    </row>
    <row r="63" spans="1:24">
      <c r="A63" s="2" t="s">
        <v>465</v>
      </c>
      <c r="H63" s="2" t="s">
        <v>948</v>
      </c>
      <c r="W63" s="2" t="s">
        <v>949</v>
      </c>
      <c r="X63" s="2" t="s">
        <v>918</v>
      </c>
    </row>
    <row r="64" spans="1:24">
      <c r="A64" s="2" t="s">
        <v>654</v>
      </c>
      <c r="G64" s="2" t="s">
        <v>219</v>
      </c>
      <c r="W64" s="2" t="s">
        <v>950</v>
      </c>
      <c r="X64" s="2" t="s">
        <v>918</v>
      </c>
    </row>
    <row r="65" spans="1:24">
      <c r="A65" s="2" t="s">
        <v>837</v>
      </c>
      <c r="H65" s="2" t="s">
        <v>951</v>
      </c>
      <c r="I65" s="2" t="s">
        <v>952</v>
      </c>
      <c r="W65" s="2" t="s">
        <v>953</v>
      </c>
      <c r="X65" s="2" t="s">
        <v>918</v>
      </c>
    </row>
    <row r="66" spans="1:24">
      <c r="A66" s="2" t="s">
        <v>842</v>
      </c>
      <c r="I66" s="2" t="s">
        <v>954</v>
      </c>
      <c r="J66" s="2" t="s">
        <v>955</v>
      </c>
      <c r="W66" s="2" t="s">
        <v>956</v>
      </c>
      <c r="X66" s="2" t="s">
        <v>918</v>
      </c>
    </row>
    <row r="67" spans="1:24">
      <c r="A67" s="2" t="s">
        <v>846</v>
      </c>
      <c r="H67" s="2" t="s">
        <v>957</v>
      </c>
      <c r="W67" s="2" t="s">
        <v>958</v>
      </c>
      <c r="X67" s="2" t="s">
        <v>918</v>
      </c>
    </row>
    <row r="68" spans="1:24">
      <c r="A68" s="2" t="s">
        <v>655</v>
      </c>
      <c r="I68" s="2" t="s">
        <v>959</v>
      </c>
      <c r="J68" s="2" t="s">
        <v>960</v>
      </c>
      <c r="X68" s="2" t="s">
        <v>7</v>
      </c>
    </row>
    <row r="69" spans="1:24">
      <c r="A69" s="2" t="s">
        <v>518</v>
      </c>
      <c r="J69" s="2" t="s">
        <v>961</v>
      </c>
      <c r="K69" s="2" t="s">
        <v>962</v>
      </c>
      <c r="W69" s="2" t="s">
        <v>963</v>
      </c>
      <c r="X69" s="2" t="s">
        <v>7</v>
      </c>
    </row>
    <row r="70" spans="1:24">
      <c r="A70" s="2" t="s">
        <v>854</v>
      </c>
      <c r="K70" s="2" t="s">
        <v>964</v>
      </c>
      <c r="L70" s="2" t="s">
        <v>965</v>
      </c>
      <c r="W70" s="2" t="s">
        <v>966</v>
      </c>
      <c r="X70" s="2" t="s">
        <v>7</v>
      </c>
    </row>
    <row r="71" ht="14" customHeight="1" spans="1:24">
      <c r="A71" s="2" t="s">
        <v>860</v>
      </c>
      <c r="K71" s="2" t="s">
        <v>967</v>
      </c>
      <c r="L71" s="2" t="s">
        <v>968</v>
      </c>
      <c r="M71" s="2" t="s">
        <v>969</v>
      </c>
      <c r="W71" s="2" t="s">
        <v>970</v>
      </c>
      <c r="X71" s="2" t="s">
        <v>918</v>
      </c>
    </row>
    <row r="72" spans="1:24">
      <c r="A72" s="2" t="s">
        <v>865</v>
      </c>
      <c r="B72" s="10"/>
      <c r="L72" s="2" t="s">
        <v>206</v>
      </c>
      <c r="M72" s="2" t="s">
        <v>971</v>
      </c>
      <c r="X72" s="2" t="s">
        <v>918</v>
      </c>
    </row>
    <row r="73" spans="1:24">
      <c r="A73" s="2" t="s">
        <v>869</v>
      </c>
      <c r="M73" s="2" t="s">
        <v>218</v>
      </c>
      <c r="W73" s="2" t="s">
        <v>972</v>
      </c>
      <c r="X73" s="2" t="s">
        <v>918</v>
      </c>
    </row>
    <row r="74" spans="1:24">
      <c r="A74" s="2" t="s">
        <v>871</v>
      </c>
      <c r="N74" s="2" t="s">
        <v>973</v>
      </c>
      <c r="O74" s="2" t="s">
        <v>974</v>
      </c>
      <c r="W74" s="2" t="s">
        <v>975</v>
      </c>
      <c r="X74" s="2" t="s">
        <v>918</v>
      </c>
    </row>
    <row r="75" spans="1:24">
      <c r="A75" s="2" t="s">
        <v>976</v>
      </c>
      <c r="P75" s="2" t="s">
        <v>977</v>
      </c>
      <c r="W75" s="2" t="s">
        <v>978</v>
      </c>
      <c r="X75" s="2" t="s">
        <v>918</v>
      </c>
    </row>
    <row r="76" spans="1:24">
      <c r="A76" s="2" t="s">
        <v>876</v>
      </c>
      <c r="O76" s="2" t="s">
        <v>979</v>
      </c>
      <c r="S76" s="2" t="s">
        <v>980</v>
      </c>
      <c r="W76" s="2" t="s">
        <v>981</v>
      </c>
      <c r="X76" s="2" t="s">
        <v>918</v>
      </c>
    </row>
    <row r="77" spans="1:24">
      <c r="A77" s="2" t="s">
        <v>881</v>
      </c>
      <c r="N77" s="2" t="s">
        <v>982</v>
      </c>
      <c r="X77" s="2" t="s">
        <v>918</v>
      </c>
    </row>
    <row r="78" spans="1:24">
      <c r="A78" s="2" t="s">
        <v>883</v>
      </c>
      <c r="O78" s="2" t="s">
        <v>983</v>
      </c>
      <c r="P78" s="2" t="s">
        <v>984</v>
      </c>
      <c r="W78" s="2" t="s">
        <v>985</v>
      </c>
      <c r="X78" s="2" t="s">
        <v>918</v>
      </c>
    </row>
    <row r="79" spans="1:24">
      <c r="A79" s="2" t="s">
        <v>28</v>
      </c>
      <c r="Q79" s="2" t="s">
        <v>986</v>
      </c>
      <c r="W79" s="2" t="s">
        <v>987</v>
      </c>
      <c r="X79" s="2" t="s">
        <v>918</v>
      </c>
    </row>
    <row r="80" spans="1:24">
      <c r="A80" s="2" t="s">
        <v>988</v>
      </c>
      <c r="N80" s="2" t="s">
        <v>208</v>
      </c>
      <c r="W80" s="2" t="s">
        <v>989</v>
      </c>
      <c r="X80" s="2" t="s">
        <v>918</v>
      </c>
    </row>
    <row r="81" spans="1:24">
      <c r="A81" s="2" t="s">
        <v>890</v>
      </c>
      <c r="P81" s="2" t="s">
        <v>990</v>
      </c>
      <c r="Q81" s="2" t="s">
        <v>991</v>
      </c>
      <c r="X81" s="2" t="s">
        <v>918</v>
      </c>
    </row>
    <row r="82" spans="1:24">
      <c r="A82" s="2" t="s">
        <v>896</v>
      </c>
      <c r="Q82" s="2" t="s">
        <v>992</v>
      </c>
      <c r="R82" s="2" t="s">
        <v>993</v>
      </c>
      <c r="W82" s="2" t="s">
        <v>994</v>
      </c>
      <c r="X82" s="2" t="s">
        <v>918</v>
      </c>
    </row>
    <row r="83" spans="1:24">
      <c r="A83" s="2" t="s">
        <v>995</v>
      </c>
      <c r="P83" s="2" t="s">
        <v>996</v>
      </c>
      <c r="X83" s="2" t="s">
        <v>918</v>
      </c>
    </row>
    <row r="84" spans="1:24">
      <c r="A84" s="2" t="s">
        <v>35</v>
      </c>
      <c r="S84" s="2" t="s">
        <v>899</v>
      </c>
      <c r="W84" s="2" t="s">
        <v>997</v>
      </c>
      <c r="X84" s="2" t="s">
        <v>918</v>
      </c>
    </row>
    <row r="85" spans="1:24">
      <c r="A85" s="2" t="s">
        <v>901</v>
      </c>
      <c r="R85" s="2" t="s">
        <v>998</v>
      </c>
      <c r="X85" s="2" t="s">
        <v>918</v>
      </c>
    </row>
    <row r="86" spans="1:24">
      <c r="A86" s="2" t="s">
        <v>903</v>
      </c>
      <c r="P86" s="2" t="s">
        <v>999</v>
      </c>
      <c r="R86" s="2" t="s">
        <v>220</v>
      </c>
      <c r="W86" s="2" t="s">
        <v>1000</v>
      </c>
      <c r="X86" s="2" t="s">
        <v>918</v>
      </c>
    </row>
    <row r="87" spans="1:24">
      <c r="A87" s="2" t="s">
        <v>1001</v>
      </c>
      <c r="P87" s="2" t="s">
        <v>1002</v>
      </c>
      <c r="W87" s="2" t="s">
        <v>1003</v>
      </c>
      <c r="X87" s="2" t="s">
        <v>918</v>
      </c>
    </row>
    <row r="88" spans="1:24">
      <c r="A88" s="2" t="s">
        <v>1004</v>
      </c>
      <c r="W88" s="2" t="s">
        <v>1005</v>
      </c>
      <c r="X88" s="2" t="s">
        <v>918</v>
      </c>
    </row>
    <row r="94" spans="1:22">
      <c r="A94" s="2" t="s">
        <v>428</v>
      </c>
      <c r="B94" s="8" t="s">
        <v>805</v>
      </c>
      <c r="C94" s="8"/>
      <c r="D94" s="8"/>
      <c r="E94" s="8"/>
      <c r="F94" s="8"/>
      <c r="G94" s="8"/>
      <c r="H94" s="8"/>
      <c r="I94" s="8"/>
      <c r="J94" s="8"/>
      <c r="K94" s="8"/>
      <c r="L94" s="8"/>
      <c r="M94" s="8"/>
      <c r="N94" s="8"/>
      <c r="O94" s="8"/>
      <c r="P94" s="8"/>
      <c r="Q94" s="8"/>
      <c r="R94" s="8"/>
      <c r="S94" s="8"/>
      <c r="T94" s="8"/>
      <c r="U94" s="8"/>
      <c r="V94" s="8"/>
    </row>
    <row r="95" spans="1:24">
      <c r="A95" s="2" t="s">
        <v>806</v>
      </c>
      <c r="B95" s="2" t="s">
        <v>807</v>
      </c>
      <c r="W95" s="2" t="s">
        <v>1006</v>
      </c>
      <c r="X95" s="2" t="s">
        <v>1007</v>
      </c>
    </row>
    <row r="96" spans="1:24">
      <c r="A96" s="2" t="s">
        <v>41</v>
      </c>
      <c r="B96" s="2" t="s">
        <v>1008</v>
      </c>
      <c r="W96" s="2" t="s">
        <v>1009</v>
      </c>
      <c r="X96" s="2" t="s">
        <v>1007</v>
      </c>
    </row>
    <row r="97" spans="1:24">
      <c r="A97" s="2" t="s">
        <v>43</v>
      </c>
      <c r="B97" s="2" t="s">
        <v>1010</v>
      </c>
      <c r="C97" s="2" t="s">
        <v>1011</v>
      </c>
      <c r="W97" s="2" t="s">
        <v>1012</v>
      </c>
      <c r="X97" s="2" t="s">
        <v>1007</v>
      </c>
    </row>
    <row r="98" spans="1:24">
      <c r="A98" s="2" t="s">
        <v>814</v>
      </c>
      <c r="B98" s="2" t="s">
        <v>1013</v>
      </c>
      <c r="C98" s="2" t="s">
        <v>1014</v>
      </c>
      <c r="X98" s="2" t="s">
        <v>1007</v>
      </c>
    </row>
    <row r="99" spans="1:24">
      <c r="A99" s="2" t="s">
        <v>749</v>
      </c>
      <c r="C99" s="2" t="s">
        <v>1015</v>
      </c>
      <c r="D99" s="2" t="s">
        <v>1016</v>
      </c>
      <c r="W99" s="2" t="s">
        <v>1017</v>
      </c>
      <c r="X99" s="2" t="s">
        <v>1007</v>
      </c>
    </row>
    <row r="100" spans="1:24">
      <c r="A100" s="2" t="s">
        <v>635</v>
      </c>
      <c r="D100" s="2" t="s">
        <v>1018</v>
      </c>
      <c r="X100" s="2" t="s">
        <v>1007</v>
      </c>
    </row>
    <row r="101" spans="1:24">
      <c r="A101" s="2" t="s">
        <v>627</v>
      </c>
      <c r="D101" s="2" t="s">
        <v>1019</v>
      </c>
      <c r="E101" s="2" t="s">
        <v>1020</v>
      </c>
      <c r="W101" s="2" t="s">
        <v>1021</v>
      </c>
      <c r="X101" s="2" t="s">
        <v>1022</v>
      </c>
    </row>
    <row r="102" spans="1:24">
      <c r="A102" s="2" t="s">
        <v>817</v>
      </c>
      <c r="F102" s="2" t="s">
        <v>1023</v>
      </c>
      <c r="W102" s="2" t="s">
        <v>1024</v>
      </c>
      <c r="X102" s="2" t="s">
        <v>1022</v>
      </c>
    </row>
    <row r="103" spans="1:24">
      <c r="A103" s="2" t="s">
        <v>475</v>
      </c>
      <c r="G103" s="2" t="s">
        <v>1025</v>
      </c>
      <c r="W103" s="2" t="s">
        <v>1026</v>
      </c>
      <c r="X103" s="2" t="s">
        <v>1022</v>
      </c>
    </row>
    <row r="104" spans="1:24">
      <c r="A104" s="2" t="s">
        <v>935</v>
      </c>
      <c r="E104" s="2" t="s">
        <v>1027</v>
      </c>
      <c r="F104" s="2" t="s">
        <v>1028</v>
      </c>
      <c r="X104" s="2" t="s">
        <v>1022</v>
      </c>
    </row>
    <row r="105" spans="1:24">
      <c r="A105" s="2" t="s">
        <v>820</v>
      </c>
      <c r="G105" s="2" t="s">
        <v>1029</v>
      </c>
      <c r="H105" s="2" t="s">
        <v>1030</v>
      </c>
      <c r="W105" s="2" t="s">
        <v>1031</v>
      </c>
      <c r="X105" s="2" t="s">
        <v>1022</v>
      </c>
    </row>
    <row r="106" spans="1:24">
      <c r="A106" s="2" t="s">
        <v>822</v>
      </c>
      <c r="E106" s="2" t="s">
        <v>1032</v>
      </c>
      <c r="F106" s="2" t="s">
        <v>1033</v>
      </c>
      <c r="H106" s="2" t="s">
        <v>1034</v>
      </c>
      <c r="W106" s="2" t="s">
        <v>1035</v>
      </c>
      <c r="X106" s="2" t="s">
        <v>1022</v>
      </c>
    </row>
    <row r="107" spans="1:24">
      <c r="A107" s="2" t="s">
        <v>517</v>
      </c>
      <c r="G107" s="2" t="s">
        <v>1036</v>
      </c>
      <c r="X107" s="2" t="s">
        <v>1022</v>
      </c>
    </row>
    <row r="108" spans="1:24">
      <c r="A108" s="2" t="s">
        <v>1037</v>
      </c>
      <c r="H108" s="2" t="s">
        <v>1038</v>
      </c>
      <c r="W108" s="2" t="s">
        <v>1039</v>
      </c>
      <c r="X108" s="2" t="s">
        <v>1022</v>
      </c>
    </row>
    <row r="109" spans="1:24">
      <c r="A109" s="2" t="s">
        <v>837</v>
      </c>
      <c r="I109" s="2" t="s">
        <v>1040</v>
      </c>
      <c r="W109" s="2" t="s">
        <v>1041</v>
      </c>
      <c r="X109" s="2" t="s">
        <v>1022</v>
      </c>
    </row>
    <row r="110" spans="1:24">
      <c r="A110" s="2" t="s">
        <v>842</v>
      </c>
      <c r="I110" s="2" t="s">
        <v>1042</v>
      </c>
      <c r="J110" s="2" t="s">
        <v>1043</v>
      </c>
      <c r="W110" s="2" t="s">
        <v>1044</v>
      </c>
      <c r="X110" s="2" t="s">
        <v>1022</v>
      </c>
    </row>
    <row r="111" spans="1:24">
      <c r="A111" s="2" t="s">
        <v>655</v>
      </c>
      <c r="I111" s="2" t="s">
        <v>1045</v>
      </c>
      <c r="J111" s="2" t="s">
        <v>1046</v>
      </c>
      <c r="W111" s="2" t="s">
        <v>1047</v>
      </c>
      <c r="X111" s="2" t="s">
        <v>1022</v>
      </c>
    </row>
    <row r="112" spans="1:24">
      <c r="A112" s="2" t="s">
        <v>518</v>
      </c>
      <c r="J112" s="2" t="s">
        <v>1048</v>
      </c>
      <c r="K112" s="2" t="s">
        <v>1049</v>
      </c>
      <c r="W112" s="2" t="s">
        <v>1050</v>
      </c>
      <c r="X112" s="2" t="s">
        <v>1022</v>
      </c>
    </row>
    <row r="113" spans="1:24">
      <c r="A113" s="2" t="s">
        <v>854</v>
      </c>
      <c r="K113" s="2" t="s">
        <v>1051</v>
      </c>
      <c r="L113" s="2" t="s">
        <v>1052</v>
      </c>
      <c r="M113" s="2" t="s">
        <v>1053</v>
      </c>
      <c r="W113" s="2" t="s">
        <v>1054</v>
      </c>
      <c r="X113" s="2" t="s">
        <v>1055</v>
      </c>
    </row>
    <row r="114" spans="1:24">
      <c r="A114" s="2" t="s">
        <v>860</v>
      </c>
      <c r="K114" s="2" t="s">
        <v>1056</v>
      </c>
      <c r="L114" s="2" t="s">
        <v>1057</v>
      </c>
      <c r="N114" s="2" t="s">
        <v>1058</v>
      </c>
      <c r="W114" s="2" t="s">
        <v>1059</v>
      </c>
      <c r="X114" s="2" t="s">
        <v>1055</v>
      </c>
    </row>
    <row r="115" spans="1:24">
      <c r="A115" s="2" t="s">
        <v>1060</v>
      </c>
      <c r="M115" s="2" t="s">
        <v>1061</v>
      </c>
      <c r="X115" s="2" t="s">
        <v>1055</v>
      </c>
    </row>
    <row r="116" spans="1:24">
      <c r="A116" s="2" t="s">
        <v>865</v>
      </c>
      <c r="L116" s="2" t="s">
        <v>1062</v>
      </c>
      <c r="N116" s="2" t="s">
        <v>1063</v>
      </c>
      <c r="W116" s="2" t="s">
        <v>1064</v>
      </c>
      <c r="X116" s="2" t="s">
        <v>1055</v>
      </c>
    </row>
    <row r="117" spans="1:24">
      <c r="A117" s="2" t="s">
        <v>869</v>
      </c>
      <c r="N117" s="2" t="s">
        <v>1065</v>
      </c>
      <c r="X117" s="2" t="s">
        <v>1055</v>
      </c>
    </row>
    <row r="118" spans="1:24">
      <c r="A118" s="2" t="s">
        <v>871</v>
      </c>
      <c r="M118" s="2" t="s">
        <v>1066</v>
      </c>
      <c r="O118" s="2" t="s">
        <v>1067</v>
      </c>
      <c r="P118" s="2" t="s">
        <v>1068</v>
      </c>
      <c r="X118" s="2" t="s">
        <v>1055</v>
      </c>
    </row>
    <row r="119" spans="1:24">
      <c r="A119" s="2" t="s">
        <v>876</v>
      </c>
      <c r="P119" s="2" t="s">
        <v>1069</v>
      </c>
      <c r="Q119" s="2" t="s">
        <v>1070</v>
      </c>
      <c r="W119" s="2" t="s">
        <v>1071</v>
      </c>
      <c r="X119" s="2" t="s">
        <v>1007</v>
      </c>
    </row>
    <row r="120" spans="1:24">
      <c r="A120" s="2" t="s">
        <v>881</v>
      </c>
      <c r="M120" s="2" t="s">
        <v>1072</v>
      </c>
      <c r="O120" s="2" t="s">
        <v>1073</v>
      </c>
      <c r="R120" s="2" t="s">
        <v>1074</v>
      </c>
      <c r="W120" s="2" t="s">
        <v>1075</v>
      </c>
      <c r="X120" s="2" t="s">
        <v>1007</v>
      </c>
    </row>
    <row r="121" spans="1:24">
      <c r="A121" s="2" t="s">
        <v>883</v>
      </c>
      <c r="P121" s="2" t="s">
        <v>1076</v>
      </c>
      <c r="Q121" s="2" t="s">
        <v>1077</v>
      </c>
      <c r="X121" s="2" t="s">
        <v>1007</v>
      </c>
    </row>
    <row r="122" spans="1:24">
      <c r="A122" s="2" t="s">
        <v>28</v>
      </c>
      <c r="O122" s="2" t="s">
        <v>1078</v>
      </c>
      <c r="R122" s="2" t="s">
        <v>1079</v>
      </c>
      <c r="X122" s="2" t="s">
        <v>1007</v>
      </c>
    </row>
    <row r="123" spans="1:24">
      <c r="A123" s="2" t="s">
        <v>988</v>
      </c>
      <c r="Q123" s="2" t="s">
        <v>1080</v>
      </c>
      <c r="X123" s="2" t="s">
        <v>1007</v>
      </c>
    </row>
    <row r="124" spans="1:24">
      <c r="A124" s="2" t="s">
        <v>31</v>
      </c>
      <c r="R124" s="2" t="s">
        <v>1081</v>
      </c>
      <c r="S124" s="2" t="s">
        <v>1082</v>
      </c>
      <c r="W124" s="2" t="s">
        <v>1083</v>
      </c>
      <c r="X124" s="2" t="s">
        <v>1007</v>
      </c>
    </row>
    <row r="125" spans="1:24">
      <c r="A125" s="2" t="s">
        <v>892</v>
      </c>
      <c r="S125" s="2" t="s">
        <v>1084</v>
      </c>
      <c r="X125" s="2" t="s">
        <v>1007</v>
      </c>
    </row>
    <row r="126" spans="1:24">
      <c r="A126" s="2" t="s">
        <v>896</v>
      </c>
      <c r="M126" s="2" t="s">
        <v>1085</v>
      </c>
      <c r="S126" s="2" t="s">
        <v>1086</v>
      </c>
      <c r="T126" s="2" t="s">
        <v>1087</v>
      </c>
      <c r="W126" s="2" t="s">
        <v>1088</v>
      </c>
      <c r="X126" s="2" t="s">
        <v>1007</v>
      </c>
    </row>
    <row r="127" spans="1:24">
      <c r="A127" s="2" t="s">
        <v>35</v>
      </c>
      <c r="V127" s="2" t="s">
        <v>899</v>
      </c>
      <c r="W127" s="2" t="s">
        <v>1089</v>
      </c>
      <c r="X127" s="2" t="s">
        <v>1007</v>
      </c>
    </row>
    <row r="128" spans="1:24">
      <c r="A128" s="2" t="s">
        <v>901</v>
      </c>
      <c r="M128" s="2" t="s">
        <v>1090</v>
      </c>
      <c r="T128" s="2" t="s">
        <v>1091</v>
      </c>
      <c r="U128" s="2" t="s">
        <v>1092</v>
      </c>
      <c r="W128" s="2" t="s">
        <v>1093</v>
      </c>
      <c r="X128" s="2" t="s">
        <v>1007</v>
      </c>
    </row>
    <row r="129" spans="1:24">
      <c r="A129" s="2" t="s">
        <v>903</v>
      </c>
      <c r="T129" s="2" t="s">
        <v>1094</v>
      </c>
      <c r="U129" s="2" t="s">
        <v>1095</v>
      </c>
      <c r="W129" s="2" t="s">
        <v>1096</v>
      </c>
      <c r="X129" s="2" t="s">
        <v>1007</v>
      </c>
    </row>
    <row r="130" spans="1:24">
      <c r="A130" s="2" t="s">
        <v>1097</v>
      </c>
      <c r="U130" s="2" t="s">
        <v>1098</v>
      </c>
      <c r="W130" s="2" t="s">
        <v>1099</v>
      </c>
      <c r="X130" s="2" t="s">
        <v>1007</v>
      </c>
    </row>
    <row r="131" spans="1:24">
      <c r="A131" s="2" t="s">
        <v>1100</v>
      </c>
      <c r="W131" s="2" t="s">
        <v>1101</v>
      </c>
      <c r="X131" s="2" t="s">
        <v>1007</v>
      </c>
    </row>
    <row r="137" spans="3:16">
      <c r="C137" s="11" t="s">
        <v>1102</v>
      </c>
      <c r="D137" s="12"/>
      <c r="E137" s="12"/>
      <c r="F137" s="12"/>
      <c r="G137" s="12"/>
      <c r="H137" s="12"/>
      <c r="I137" s="12"/>
      <c r="J137" s="12"/>
      <c r="K137" s="12"/>
      <c r="L137" s="12"/>
      <c r="M137" s="12"/>
      <c r="N137" s="12"/>
      <c r="O137" s="12"/>
      <c r="P137" s="12"/>
    </row>
    <row r="138" spans="3:16">
      <c r="C138" s="12"/>
      <c r="D138" s="12"/>
      <c r="E138" s="12"/>
      <c r="F138" s="12"/>
      <c r="G138" s="12"/>
      <c r="H138" s="12"/>
      <c r="I138" s="12"/>
      <c r="J138" s="12"/>
      <c r="K138" s="12"/>
      <c r="L138" s="12"/>
      <c r="M138" s="12"/>
      <c r="N138" s="12"/>
      <c r="O138" s="12"/>
      <c r="P138" s="12"/>
    </row>
    <row r="139" spans="3:16">
      <c r="C139" s="12"/>
      <c r="D139" s="12"/>
      <c r="E139" s="12"/>
      <c r="F139" s="12"/>
      <c r="G139" s="12"/>
      <c r="H139" s="12"/>
      <c r="I139" s="12"/>
      <c r="J139" s="12"/>
      <c r="K139" s="12"/>
      <c r="L139" s="12"/>
      <c r="M139" s="12"/>
      <c r="N139" s="12"/>
      <c r="O139" s="12"/>
      <c r="P139" s="12"/>
    </row>
    <row r="140" spans="3:16">
      <c r="C140" s="12"/>
      <c r="D140" s="12"/>
      <c r="E140" s="12"/>
      <c r="F140" s="12"/>
      <c r="G140" s="12"/>
      <c r="H140" s="12"/>
      <c r="I140" s="12"/>
      <c r="J140" s="12"/>
      <c r="K140" s="12"/>
      <c r="L140" s="12"/>
      <c r="M140" s="12"/>
      <c r="N140" s="12"/>
      <c r="O140" s="12"/>
      <c r="P140" s="12"/>
    </row>
    <row r="141" spans="3:16">
      <c r="C141" s="12"/>
      <c r="D141" s="12"/>
      <c r="E141" s="12"/>
      <c r="F141" s="12"/>
      <c r="G141" s="12"/>
      <c r="H141" s="12"/>
      <c r="I141" s="12"/>
      <c r="J141" s="12"/>
      <c r="K141" s="12"/>
      <c r="L141" s="12"/>
      <c r="M141" s="12"/>
      <c r="N141" s="12"/>
      <c r="O141" s="12"/>
      <c r="P141" s="12"/>
    </row>
    <row r="142" spans="3:16">
      <c r="C142" s="12"/>
      <c r="D142" s="12"/>
      <c r="E142" s="12"/>
      <c r="F142" s="12"/>
      <c r="G142" s="12"/>
      <c r="H142" s="12"/>
      <c r="I142" s="12"/>
      <c r="J142" s="12"/>
      <c r="K142" s="12"/>
      <c r="L142" s="12"/>
      <c r="M142" s="12"/>
      <c r="N142" s="12"/>
      <c r="O142" s="12"/>
      <c r="P142" s="12"/>
    </row>
    <row r="143" spans="3:16">
      <c r="C143" s="12"/>
      <c r="D143" s="12"/>
      <c r="E143" s="12"/>
      <c r="F143" s="12"/>
      <c r="G143" s="12"/>
      <c r="H143" s="12"/>
      <c r="I143" s="12"/>
      <c r="J143" s="12"/>
      <c r="K143" s="12"/>
      <c r="L143" s="12"/>
      <c r="M143" s="12"/>
      <c r="N143" s="12"/>
      <c r="O143" s="12"/>
      <c r="P143" s="12"/>
    </row>
    <row r="144" spans="3:16">
      <c r="C144" s="12"/>
      <c r="D144" s="12"/>
      <c r="E144" s="12"/>
      <c r="F144" s="12"/>
      <c r="G144" s="12"/>
      <c r="H144" s="12"/>
      <c r="I144" s="12"/>
      <c r="J144" s="12"/>
      <c r="K144" s="12"/>
      <c r="L144" s="12"/>
      <c r="M144" s="12"/>
      <c r="N144" s="12"/>
      <c r="O144" s="12"/>
      <c r="P144" s="12"/>
    </row>
    <row r="145" spans="3:16">
      <c r="C145" s="12"/>
      <c r="D145" s="12"/>
      <c r="E145" s="12"/>
      <c r="F145" s="12"/>
      <c r="G145" s="12"/>
      <c r="H145" s="12"/>
      <c r="I145" s="12"/>
      <c r="J145" s="12"/>
      <c r="K145" s="12"/>
      <c r="L145" s="12"/>
      <c r="M145" s="12"/>
      <c r="N145" s="12"/>
      <c r="O145" s="12"/>
      <c r="P145" s="12"/>
    </row>
    <row r="146" spans="3:16">
      <c r="C146" s="12"/>
      <c r="D146" s="12"/>
      <c r="E146" s="12"/>
      <c r="F146" s="12"/>
      <c r="G146" s="12"/>
      <c r="H146" s="12"/>
      <c r="I146" s="12"/>
      <c r="J146" s="12"/>
      <c r="K146" s="12"/>
      <c r="L146" s="12"/>
      <c r="M146" s="12"/>
      <c r="N146" s="12"/>
      <c r="O146" s="12"/>
      <c r="P146" s="12"/>
    </row>
    <row r="147" spans="3:16">
      <c r="C147" s="12"/>
      <c r="D147" s="12"/>
      <c r="E147" s="12"/>
      <c r="F147" s="12"/>
      <c r="G147" s="12"/>
      <c r="H147" s="12"/>
      <c r="I147" s="12"/>
      <c r="J147" s="12"/>
      <c r="K147" s="12"/>
      <c r="L147" s="12"/>
      <c r="M147" s="12"/>
      <c r="N147" s="12"/>
      <c r="O147" s="12"/>
      <c r="P147" s="12"/>
    </row>
    <row r="148" spans="3:16">
      <c r="C148" s="12"/>
      <c r="D148" s="12"/>
      <c r="E148" s="12"/>
      <c r="F148" s="12"/>
      <c r="G148" s="12"/>
      <c r="H148" s="12"/>
      <c r="I148" s="12"/>
      <c r="J148" s="12"/>
      <c r="K148" s="12"/>
      <c r="L148" s="12"/>
      <c r="M148" s="12"/>
      <c r="N148" s="12"/>
      <c r="O148" s="12"/>
      <c r="P148" s="12"/>
    </row>
    <row r="149" spans="3:16">
      <c r="C149" s="12"/>
      <c r="D149" s="12"/>
      <c r="E149" s="12"/>
      <c r="F149" s="12"/>
      <c r="G149" s="12"/>
      <c r="H149" s="12"/>
      <c r="I149" s="12"/>
      <c r="J149" s="12"/>
      <c r="K149" s="12"/>
      <c r="L149" s="12"/>
      <c r="M149" s="12"/>
      <c r="N149" s="12"/>
      <c r="O149" s="12"/>
      <c r="P149" s="12"/>
    </row>
    <row r="150" spans="3:16">
      <c r="C150" s="12"/>
      <c r="D150" s="12"/>
      <c r="E150" s="12"/>
      <c r="F150" s="12"/>
      <c r="G150" s="12"/>
      <c r="H150" s="12"/>
      <c r="I150" s="12"/>
      <c r="J150" s="12"/>
      <c r="K150" s="12"/>
      <c r="L150" s="12"/>
      <c r="M150" s="12"/>
      <c r="N150" s="12"/>
      <c r="O150" s="12"/>
      <c r="P150" s="12"/>
    </row>
    <row r="151" spans="3:16">
      <c r="C151" s="12"/>
      <c r="D151" s="12"/>
      <c r="E151" s="12"/>
      <c r="F151" s="12"/>
      <c r="G151" s="12"/>
      <c r="H151" s="12"/>
      <c r="I151" s="12"/>
      <c r="J151" s="12"/>
      <c r="K151" s="12"/>
      <c r="L151" s="12"/>
      <c r="M151" s="12"/>
      <c r="N151" s="12"/>
      <c r="O151" s="12"/>
      <c r="P151" s="12"/>
    </row>
    <row r="152" spans="3:16">
      <c r="C152" s="12"/>
      <c r="D152" s="12"/>
      <c r="E152" s="12"/>
      <c r="F152" s="12"/>
      <c r="G152" s="12"/>
      <c r="H152" s="12"/>
      <c r="I152" s="12"/>
      <c r="J152" s="12"/>
      <c r="K152" s="12"/>
      <c r="L152" s="12"/>
      <c r="M152" s="12"/>
      <c r="N152" s="12"/>
      <c r="O152" s="12"/>
      <c r="P152" s="12"/>
    </row>
    <row r="153" spans="3:16">
      <c r="C153" s="12"/>
      <c r="D153" s="12"/>
      <c r="E153" s="12"/>
      <c r="F153" s="12"/>
      <c r="G153" s="12"/>
      <c r="H153" s="12"/>
      <c r="I153" s="12"/>
      <c r="J153" s="12"/>
      <c r="K153" s="12"/>
      <c r="L153" s="12"/>
      <c r="M153" s="12"/>
      <c r="N153" s="12"/>
      <c r="O153" s="12"/>
      <c r="P153" s="12"/>
    </row>
    <row r="154" spans="3:16">
      <c r="C154" s="12"/>
      <c r="D154" s="12"/>
      <c r="E154" s="12"/>
      <c r="F154" s="12"/>
      <c r="G154" s="12"/>
      <c r="H154" s="12"/>
      <c r="I154" s="12"/>
      <c r="J154" s="12"/>
      <c r="K154" s="12"/>
      <c r="L154" s="12"/>
      <c r="M154" s="12"/>
      <c r="N154" s="12"/>
      <c r="O154" s="12"/>
      <c r="P154" s="12"/>
    </row>
    <row r="155" spans="3:16">
      <c r="C155" s="12"/>
      <c r="D155" s="12"/>
      <c r="E155" s="12"/>
      <c r="F155" s="12"/>
      <c r="G155" s="12"/>
      <c r="H155" s="12"/>
      <c r="I155" s="12"/>
      <c r="J155" s="12"/>
      <c r="K155" s="12"/>
      <c r="L155" s="12"/>
      <c r="M155" s="12"/>
      <c r="N155" s="12"/>
      <c r="O155" s="12"/>
      <c r="P155" s="12"/>
    </row>
    <row r="156" spans="3:16">
      <c r="C156" s="12"/>
      <c r="D156" s="12"/>
      <c r="E156" s="12"/>
      <c r="F156" s="12"/>
      <c r="G156" s="12"/>
      <c r="H156" s="12"/>
      <c r="I156" s="12"/>
      <c r="J156" s="12"/>
      <c r="K156" s="12"/>
      <c r="L156" s="12"/>
      <c r="M156" s="12"/>
      <c r="N156" s="12"/>
      <c r="O156" s="12"/>
      <c r="P156" s="12"/>
    </row>
    <row r="157" spans="3:16">
      <c r="C157" s="12"/>
      <c r="D157" s="12"/>
      <c r="E157" s="12"/>
      <c r="F157" s="12"/>
      <c r="G157" s="12"/>
      <c r="H157" s="12"/>
      <c r="I157" s="12"/>
      <c r="J157" s="12"/>
      <c r="K157" s="12"/>
      <c r="L157" s="12"/>
      <c r="M157" s="12"/>
      <c r="N157" s="12"/>
      <c r="O157" s="12"/>
      <c r="P157" s="12"/>
    </row>
    <row r="158" spans="3:16">
      <c r="C158" s="12"/>
      <c r="D158" s="12"/>
      <c r="E158" s="12"/>
      <c r="F158" s="12"/>
      <c r="G158" s="12"/>
      <c r="H158" s="12"/>
      <c r="I158" s="12"/>
      <c r="J158" s="12"/>
      <c r="K158" s="12"/>
      <c r="L158" s="12"/>
      <c r="M158" s="12"/>
      <c r="N158" s="12"/>
      <c r="O158" s="12"/>
      <c r="P158" s="12"/>
    </row>
    <row r="159" spans="3:16">
      <c r="C159" s="12"/>
      <c r="D159" s="12"/>
      <c r="E159" s="12"/>
      <c r="F159" s="12"/>
      <c r="G159" s="12"/>
      <c r="H159" s="12"/>
      <c r="I159" s="12"/>
      <c r="J159" s="12"/>
      <c r="K159" s="12"/>
      <c r="L159" s="12"/>
      <c r="M159" s="12"/>
      <c r="N159" s="12"/>
      <c r="O159" s="12"/>
      <c r="P159" s="12"/>
    </row>
    <row r="160" spans="3:16">
      <c r="C160" s="12"/>
      <c r="D160" s="12"/>
      <c r="E160" s="12"/>
      <c r="F160" s="12"/>
      <c r="G160" s="12"/>
      <c r="H160" s="12"/>
      <c r="I160" s="12"/>
      <c r="J160" s="12"/>
      <c r="K160" s="12"/>
      <c r="L160" s="12"/>
      <c r="M160" s="12"/>
      <c r="N160" s="12"/>
      <c r="O160" s="12"/>
      <c r="P160" s="12"/>
    </row>
  </sheetData>
  <mergeCells count="4">
    <mergeCell ref="B3:P3"/>
    <mergeCell ref="B47:S47"/>
    <mergeCell ref="B94:V94"/>
    <mergeCell ref="C137:P160"/>
  </mergeCell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3"/>
  <sheetViews>
    <sheetView topLeftCell="A7" workbookViewId="0">
      <selection activeCell="P21" sqref="P21"/>
    </sheetView>
  </sheetViews>
  <sheetFormatPr defaultColWidth="9" defaultRowHeight="13.5"/>
  <sheetData>
    <row r="1" spans="1:8">
      <c r="A1" t="s">
        <v>1</v>
      </c>
      <c r="H1" t="s">
        <v>7</v>
      </c>
    </row>
    <row r="2" spans="1:11">
      <c r="A2" t="s">
        <v>1103</v>
      </c>
      <c r="B2" t="s">
        <v>1104</v>
      </c>
      <c r="D2" t="s">
        <v>1105</v>
      </c>
      <c r="H2" t="s">
        <v>1103</v>
      </c>
      <c r="I2" t="s">
        <v>1106</v>
      </c>
      <c r="J2" t="s">
        <v>1106</v>
      </c>
      <c r="K2" t="s">
        <v>1105</v>
      </c>
    </row>
    <row r="3" spans="1:24">
      <c r="A3" t="s">
        <v>697</v>
      </c>
      <c r="B3">
        <v>5</v>
      </c>
      <c r="C3">
        <v>5</v>
      </c>
      <c r="D3">
        <v>0</v>
      </c>
      <c r="E3">
        <v>0</v>
      </c>
      <c r="H3" t="s">
        <v>697</v>
      </c>
      <c r="I3">
        <v>2</v>
      </c>
      <c r="J3">
        <v>4</v>
      </c>
      <c r="K3">
        <v>5</v>
      </c>
      <c r="L3">
        <v>0</v>
      </c>
      <c r="O3" s="7" t="s">
        <v>1107</v>
      </c>
      <c r="P3" s="6"/>
      <c r="Q3" s="6"/>
      <c r="R3" s="6"/>
      <c r="S3" s="6"/>
      <c r="T3" s="6"/>
      <c r="U3" s="6"/>
      <c r="V3" s="6"/>
      <c r="W3" s="6"/>
      <c r="X3" s="6"/>
    </row>
    <row r="4" spans="1:24">
      <c r="A4" t="s">
        <v>731</v>
      </c>
      <c r="B4">
        <v>5</v>
      </c>
      <c r="C4">
        <v>5</v>
      </c>
      <c r="D4">
        <v>5</v>
      </c>
      <c r="E4">
        <v>5</v>
      </c>
      <c r="H4" t="s">
        <v>731</v>
      </c>
      <c r="I4">
        <v>5</v>
      </c>
      <c r="J4">
        <v>5</v>
      </c>
      <c r="K4">
        <v>5</v>
      </c>
      <c r="L4">
        <v>3</v>
      </c>
      <c r="O4" s="6"/>
      <c r="P4" s="6"/>
      <c r="Q4" s="6"/>
      <c r="R4" s="6"/>
      <c r="S4" s="6"/>
      <c r="T4" s="6"/>
      <c r="U4" s="6"/>
      <c r="V4" s="6"/>
      <c r="W4" s="6"/>
      <c r="X4" s="6"/>
    </row>
    <row r="5" spans="1:24">
      <c r="A5" t="s">
        <v>1108</v>
      </c>
      <c r="B5">
        <v>5</v>
      </c>
      <c r="C5">
        <v>0</v>
      </c>
      <c r="D5">
        <v>5</v>
      </c>
      <c r="E5">
        <v>5</v>
      </c>
      <c r="H5" t="s">
        <v>1108</v>
      </c>
      <c r="I5">
        <v>4</v>
      </c>
      <c r="J5">
        <v>5</v>
      </c>
      <c r="K5">
        <v>5</v>
      </c>
      <c r="L5">
        <v>1</v>
      </c>
      <c r="O5" s="6"/>
      <c r="P5" s="6"/>
      <c r="Q5" s="6"/>
      <c r="R5" s="6"/>
      <c r="S5" s="6"/>
      <c r="T5" s="6"/>
      <c r="U5" s="6"/>
      <c r="V5" s="6"/>
      <c r="W5" s="6"/>
      <c r="X5" s="6"/>
    </row>
    <row r="6" spans="1:24">
      <c r="A6" t="s">
        <v>488</v>
      </c>
      <c r="B6">
        <v>0</v>
      </c>
      <c r="C6">
        <v>0</v>
      </c>
      <c r="D6">
        <v>2</v>
      </c>
      <c r="E6">
        <v>1</v>
      </c>
      <c r="H6" t="s">
        <v>488</v>
      </c>
      <c r="I6">
        <v>0</v>
      </c>
      <c r="J6">
        <v>1</v>
      </c>
      <c r="K6">
        <v>0</v>
      </c>
      <c r="L6">
        <v>0</v>
      </c>
      <c r="O6" s="6"/>
      <c r="P6" s="6"/>
      <c r="Q6" s="6"/>
      <c r="R6" s="6"/>
      <c r="S6" s="6"/>
      <c r="T6" s="6"/>
      <c r="U6" s="6"/>
      <c r="V6" s="6"/>
      <c r="W6" s="6"/>
      <c r="X6" s="6"/>
    </row>
    <row r="7" spans="2:24">
      <c r="B7">
        <f>SUM(B3:B6)</f>
        <v>15</v>
      </c>
      <c r="C7">
        <f>SUM(C3:C6)</f>
        <v>10</v>
      </c>
      <c r="D7">
        <f t="shared" ref="D7:L7" si="0">SUM(D3:D6)</f>
        <v>12</v>
      </c>
      <c r="E7">
        <f t="shared" si="0"/>
        <v>11</v>
      </c>
      <c r="I7">
        <f t="shared" si="0"/>
        <v>11</v>
      </c>
      <c r="J7">
        <f t="shared" si="0"/>
        <v>15</v>
      </c>
      <c r="K7">
        <f t="shared" si="0"/>
        <v>15</v>
      </c>
      <c r="L7">
        <f t="shared" si="0"/>
        <v>4</v>
      </c>
      <c r="O7" s="6"/>
      <c r="P7" s="6"/>
      <c r="Q7" s="6"/>
      <c r="R7" s="6"/>
      <c r="S7" s="6"/>
      <c r="T7" s="6"/>
      <c r="U7" s="6"/>
      <c r="V7" s="6"/>
      <c r="W7" s="6"/>
      <c r="X7" s="6"/>
    </row>
    <row r="8" spans="1:24">
      <c r="A8" t="s">
        <v>1109</v>
      </c>
      <c r="B8">
        <f>B7*2.5+20</f>
        <v>57.5</v>
      </c>
      <c r="C8">
        <f>C7*2.5+20</f>
        <v>45</v>
      </c>
      <c r="D8">
        <f t="shared" ref="D8:L8" si="1">D7*2.5+20</f>
        <v>50</v>
      </c>
      <c r="E8">
        <f t="shared" si="1"/>
        <v>47.5</v>
      </c>
      <c r="F8">
        <f>SUM(B8:E8)</f>
        <v>200</v>
      </c>
      <c r="I8">
        <f t="shared" si="1"/>
        <v>47.5</v>
      </c>
      <c r="J8">
        <f t="shared" si="1"/>
        <v>57.5</v>
      </c>
      <c r="K8">
        <f t="shared" si="1"/>
        <v>57.5</v>
      </c>
      <c r="L8">
        <f t="shared" si="1"/>
        <v>30</v>
      </c>
      <c r="M8">
        <f>SUM(I8:L8)</f>
        <v>192.5</v>
      </c>
      <c r="O8" s="6"/>
      <c r="P8" s="6"/>
      <c r="Q8" s="6"/>
      <c r="R8" s="6"/>
      <c r="S8" s="6"/>
      <c r="T8" s="6"/>
      <c r="U8" s="6"/>
      <c r="V8" s="6"/>
      <c r="W8" s="6"/>
      <c r="X8" s="6"/>
    </row>
    <row r="9" spans="15:24">
      <c r="O9" s="6"/>
      <c r="P9" s="6"/>
      <c r="Q9" s="6"/>
      <c r="R9" s="6"/>
      <c r="S9" s="6"/>
      <c r="T9" s="6"/>
      <c r="U9" s="6"/>
      <c r="V9" s="6"/>
      <c r="W9" s="6"/>
      <c r="X9" s="6"/>
    </row>
    <row r="10" spans="1:24">
      <c r="A10" t="s">
        <v>1110</v>
      </c>
      <c r="H10" t="s">
        <v>1110</v>
      </c>
      <c r="O10" s="6"/>
      <c r="P10" s="6"/>
      <c r="Q10" s="6"/>
      <c r="R10" s="6"/>
      <c r="S10" s="6"/>
      <c r="T10" s="6"/>
      <c r="U10" s="6"/>
      <c r="V10" s="6"/>
      <c r="W10" s="6"/>
      <c r="X10" s="6"/>
    </row>
    <row r="11" spans="1:24">
      <c r="A11" t="s">
        <v>697</v>
      </c>
      <c r="B11">
        <v>5</v>
      </c>
      <c r="C11">
        <v>5</v>
      </c>
      <c r="D11">
        <v>0</v>
      </c>
      <c r="H11" t="s">
        <v>697</v>
      </c>
      <c r="I11">
        <v>5</v>
      </c>
      <c r="J11">
        <v>5</v>
      </c>
      <c r="K11">
        <v>5</v>
      </c>
      <c r="O11" s="6"/>
      <c r="P11" s="6"/>
      <c r="Q11" s="6"/>
      <c r="R11" s="6"/>
      <c r="S11" s="6"/>
      <c r="T11" s="6"/>
      <c r="U11" s="6"/>
      <c r="V11" s="6"/>
      <c r="W11" s="6"/>
      <c r="X11" s="6"/>
    </row>
    <row r="12" spans="1:24">
      <c r="A12" t="s">
        <v>731</v>
      </c>
      <c r="B12">
        <v>4</v>
      </c>
      <c r="C12">
        <v>0</v>
      </c>
      <c r="D12">
        <v>0</v>
      </c>
      <c r="H12" t="s">
        <v>731</v>
      </c>
      <c r="I12">
        <v>5</v>
      </c>
      <c r="O12" s="6"/>
      <c r="P12" s="6"/>
      <c r="Q12" s="6"/>
      <c r="R12" s="6"/>
      <c r="S12" s="6"/>
      <c r="T12" s="6"/>
      <c r="U12" s="6"/>
      <c r="V12" s="6"/>
      <c r="W12" s="6"/>
      <c r="X12" s="6"/>
    </row>
    <row r="13" spans="1:24">
      <c r="A13" t="s">
        <v>1108</v>
      </c>
      <c r="B13">
        <v>5</v>
      </c>
      <c r="C13">
        <v>5</v>
      </c>
      <c r="D13">
        <v>5</v>
      </c>
      <c r="H13" t="s">
        <v>1108</v>
      </c>
      <c r="I13">
        <v>5</v>
      </c>
      <c r="J13">
        <v>0</v>
      </c>
      <c r="K13">
        <v>5</v>
      </c>
      <c r="O13" s="6"/>
      <c r="P13" s="6"/>
      <c r="Q13" s="6"/>
      <c r="R13" s="6"/>
      <c r="S13" s="6"/>
      <c r="T13" s="6"/>
      <c r="U13" s="6"/>
      <c r="V13" s="6"/>
      <c r="W13" s="6"/>
      <c r="X13" s="6"/>
    </row>
    <row r="14" spans="1:24">
      <c r="A14" t="s">
        <v>488</v>
      </c>
      <c r="B14">
        <v>5</v>
      </c>
      <c r="C14">
        <v>5</v>
      </c>
      <c r="D14">
        <v>4</v>
      </c>
      <c r="H14" t="s">
        <v>488</v>
      </c>
      <c r="I14">
        <v>5</v>
      </c>
      <c r="J14">
        <v>5</v>
      </c>
      <c r="K14">
        <v>5</v>
      </c>
      <c r="O14" s="6"/>
      <c r="P14" s="6"/>
      <c r="Q14" s="6"/>
      <c r="R14" s="6"/>
      <c r="S14" s="6"/>
      <c r="T14" s="6"/>
      <c r="U14" s="6"/>
      <c r="V14" s="6"/>
      <c r="W14" s="6"/>
      <c r="X14" s="6"/>
    </row>
    <row r="15" spans="2:24">
      <c r="B15">
        <f>SUM(B11:B14)</f>
        <v>19</v>
      </c>
      <c r="C15">
        <f>SUM(C11:C14)</f>
        <v>15</v>
      </c>
      <c r="D15">
        <f>SUM(D11:D14)</f>
        <v>9</v>
      </c>
      <c r="I15">
        <f t="shared" ref="I15:K15" si="2">SUM(I11:I14)</f>
        <v>20</v>
      </c>
      <c r="J15">
        <f t="shared" si="2"/>
        <v>10</v>
      </c>
      <c r="K15">
        <f t="shared" si="2"/>
        <v>15</v>
      </c>
      <c r="O15" s="6"/>
      <c r="P15" s="6"/>
      <c r="Q15" s="6"/>
      <c r="R15" s="6"/>
      <c r="S15" s="6"/>
      <c r="T15" s="6"/>
      <c r="U15" s="6"/>
      <c r="V15" s="6"/>
      <c r="W15" s="6"/>
      <c r="X15" s="6"/>
    </row>
    <row r="16" spans="2:24">
      <c r="B16">
        <f>B15*2.5+20</f>
        <v>67.5</v>
      </c>
      <c r="C16">
        <f>C15*2.5+20</f>
        <v>57.5</v>
      </c>
      <c r="D16">
        <f>D15*2.5+20</f>
        <v>42.5</v>
      </c>
      <c r="F16">
        <f>SUM(B16:D16)</f>
        <v>167.5</v>
      </c>
      <c r="I16">
        <f t="shared" ref="I16:K16" si="3">I15*2.5+20</f>
        <v>70</v>
      </c>
      <c r="J16">
        <f t="shared" si="3"/>
        <v>45</v>
      </c>
      <c r="K16">
        <f t="shared" si="3"/>
        <v>57.5</v>
      </c>
      <c r="M16">
        <f>SUM(I16:K16)</f>
        <v>172.5</v>
      </c>
      <c r="O16" s="6"/>
      <c r="P16" s="6"/>
      <c r="Q16" s="6"/>
      <c r="R16" s="6"/>
      <c r="S16" s="6"/>
      <c r="T16" s="6"/>
      <c r="U16" s="6"/>
      <c r="V16" s="6"/>
      <c r="W16" s="6"/>
      <c r="X16" s="6"/>
    </row>
    <row r="17" spans="2:24">
      <c r="B17">
        <v>67</v>
      </c>
      <c r="O17" s="6"/>
      <c r="P17" s="6"/>
      <c r="Q17" s="6"/>
      <c r="R17" s="6"/>
      <c r="S17" s="6"/>
      <c r="T17" s="6"/>
      <c r="U17" s="6"/>
      <c r="V17" s="6"/>
      <c r="W17" s="6"/>
      <c r="X17" s="6"/>
    </row>
    <row r="19" spans="1:7">
      <c r="A19" s="1"/>
      <c r="B19" s="1"/>
      <c r="C19" s="1"/>
      <c r="D19" s="1"/>
      <c r="E19" s="1"/>
      <c r="F19" s="1"/>
      <c r="G19" s="1"/>
    </row>
    <row r="21" spans="1:9">
      <c r="A21" t="s">
        <v>1111</v>
      </c>
      <c r="E21" t="s">
        <v>1112</v>
      </c>
      <c r="I21" t="s">
        <v>677</v>
      </c>
    </row>
    <row r="22" spans="1:11">
      <c r="A22" t="s">
        <v>428</v>
      </c>
      <c r="B22" t="s">
        <v>1113</v>
      </c>
      <c r="C22" t="s">
        <v>1114</v>
      </c>
      <c r="E22" t="s">
        <v>428</v>
      </c>
      <c r="F22" t="s">
        <v>1113</v>
      </c>
      <c r="G22" t="s">
        <v>1114</v>
      </c>
      <c r="I22" t="s">
        <v>428</v>
      </c>
      <c r="J22" t="s">
        <v>1113</v>
      </c>
      <c r="K22" t="s">
        <v>1114</v>
      </c>
    </row>
    <row r="23" spans="1:11">
      <c r="A23" s="2" t="s">
        <v>485</v>
      </c>
      <c r="B23" s="2"/>
      <c r="C23" s="3" t="s">
        <v>38</v>
      </c>
      <c r="D23" s="2"/>
      <c r="E23" s="2" t="s">
        <v>485</v>
      </c>
      <c r="F23" s="2"/>
      <c r="G23" s="4" t="s">
        <v>1115</v>
      </c>
      <c r="I23" s="2" t="s">
        <v>485</v>
      </c>
      <c r="J23" s="4" t="s">
        <v>1116</v>
      </c>
      <c r="K23" s="4" t="s">
        <v>1115</v>
      </c>
    </row>
    <row r="24" spans="1:11">
      <c r="A24" s="2" t="s">
        <v>434</v>
      </c>
      <c r="C24" s="5">
        <v>6</v>
      </c>
      <c r="E24" s="2" t="s">
        <v>434</v>
      </c>
      <c r="G24" s="6">
        <v>11</v>
      </c>
      <c r="I24" s="2" t="s">
        <v>434</v>
      </c>
      <c r="J24" s="6" t="s">
        <v>1117</v>
      </c>
      <c r="K24" s="6">
        <v>11</v>
      </c>
    </row>
    <row r="25" spans="1:11">
      <c r="A25" s="2" t="s">
        <v>445</v>
      </c>
      <c r="C25" s="5">
        <v>7</v>
      </c>
      <c r="E25" s="2" t="s">
        <v>445</v>
      </c>
      <c r="G25" s="6">
        <v>21</v>
      </c>
      <c r="I25" s="2" t="s">
        <v>445</v>
      </c>
      <c r="J25" s="6" t="s">
        <v>1118</v>
      </c>
      <c r="K25" s="6">
        <v>21</v>
      </c>
    </row>
    <row r="26" spans="1:11">
      <c r="A26" s="2" t="s">
        <v>494</v>
      </c>
      <c r="C26" s="5">
        <v>11</v>
      </c>
      <c r="E26" s="2" t="s">
        <v>494</v>
      </c>
      <c r="F26" t="s">
        <v>1119</v>
      </c>
      <c r="G26" s="6">
        <v>14</v>
      </c>
      <c r="I26" s="2" t="s">
        <v>494</v>
      </c>
      <c r="J26" s="6" t="s">
        <v>1120</v>
      </c>
      <c r="K26" s="6">
        <v>14</v>
      </c>
    </row>
    <row r="27" spans="1:11">
      <c r="A27" s="2" t="s">
        <v>446</v>
      </c>
      <c r="C27" s="5">
        <v>13</v>
      </c>
      <c r="E27" s="2" t="s">
        <v>446</v>
      </c>
      <c r="F27" t="s">
        <v>1121</v>
      </c>
      <c r="G27" s="6">
        <v>10</v>
      </c>
      <c r="I27" s="2" t="s">
        <v>446</v>
      </c>
      <c r="J27" s="6" t="s">
        <v>1120</v>
      </c>
      <c r="K27" s="6">
        <v>10</v>
      </c>
    </row>
    <row r="28" spans="1:11">
      <c r="A28" s="2" t="s">
        <v>59</v>
      </c>
      <c r="B28" t="s">
        <v>1122</v>
      </c>
      <c r="C28" s="5">
        <v>15</v>
      </c>
      <c r="E28" s="2" t="s">
        <v>59</v>
      </c>
      <c r="F28" t="s">
        <v>1123</v>
      </c>
      <c r="G28" s="6">
        <v>9</v>
      </c>
      <c r="I28" s="2" t="s">
        <v>59</v>
      </c>
      <c r="J28" s="6" t="s">
        <v>1124</v>
      </c>
      <c r="K28" s="6">
        <v>9</v>
      </c>
    </row>
    <row r="29" spans="1:11">
      <c r="A29" s="2" t="s">
        <v>61</v>
      </c>
      <c r="B29" t="s">
        <v>1122</v>
      </c>
      <c r="C29" s="5">
        <v>17</v>
      </c>
      <c r="E29" s="2" t="s">
        <v>61</v>
      </c>
      <c r="F29" t="s">
        <v>1123</v>
      </c>
      <c r="G29" s="6">
        <v>11</v>
      </c>
      <c r="I29" s="2" t="s">
        <v>61</v>
      </c>
      <c r="J29" s="6" t="s">
        <v>1124</v>
      </c>
      <c r="K29" s="6">
        <v>11</v>
      </c>
    </row>
    <row r="30" spans="1:11">
      <c r="A30" s="2" t="s">
        <v>60</v>
      </c>
      <c r="B30" t="s">
        <v>1122</v>
      </c>
      <c r="C30" s="5">
        <v>21</v>
      </c>
      <c r="E30" s="2" t="s">
        <v>60</v>
      </c>
      <c r="F30" t="s">
        <v>1123</v>
      </c>
      <c r="G30" s="6">
        <v>13</v>
      </c>
      <c r="I30" s="2" t="s">
        <v>60</v>
      </c>
      <c r="J30" s="6" t="s">
        <v>1124</v>
      </c>
      <c r="K30" s="6">
        <v>13</v>
      </c>
    </row>
    <row r="33" spans="1:1">
      <c r="A33" t="s">
        <v>1125</v>
      </c>
    </row>
    <row r="34" spans="1:3">
      <c r="A34" t="s">
        <v>428</v>
      </c>
      <c r="B34" t="s">
        <v>1113</v>
      </c>
      <c r="C34" t="s">
        <v>1114</v>
      </c>
    </row>
    <row r="35" spans="1:3">
      <c r="A35" s="2" t="s">
        <v>485</v>
      </c>
      <c r="B35" t="s">
        <v>1126</v>
      </c>
      <c r="C35">
        <v>1</v>
      </c>
    </row>
    <row r="36" spans="1:3">
      <c r="A36" s="2" t="s">
        <v>434</v>
      </c>
      <c r="B36" t="s">
        <v>1126</v>
      </c>
      <c r="C36">
        <v>2</v>
      </c>
    </row>
    <row r="37" spans="1:3">
      <c r="A37" s="2" t="s">
        <v>445</v>
      </c>
      <c r="B37" t="s">
        <v>1126</v>
      </c>
      <c r="C37">
        <v>3</v>
      </c>
    </row>
    <row r="38" spans="1:3">
      <c r="A38" s="2" t="s">
        <v>494</v>
      </c>
      <c r="B38" t="s">
        <v>1126</v>
      </c>
      <c r="C38">
        <v>7</v>
      </c>
    </row>
    <row r="39" spans="1:3">
      <c r="A39" s="2" t="s">
        <v>446</v>
      </c>
      <c r="B39" t="s">
        <v>1126</v>
      </c>
      <c r="C39">
        <v>13</v>
      </c>
    </row>
    <row r="40" spans="1:3">
      <c r="A40" s="2" t="s">
        <v>59</v>
      </c>
      <c r="B40" t="s">
        <v>1126</v>
      </c>
      <c r="C40">
        <v>26</v>
      </c>
    </row>
    <row r="41" spans="1:3">
      <c r="A41" s="2" t="s">
        <v>61</v>
      </c>
      <c r="B41" t="s">
        <v>1126</v>
      </c>
      <c r="C41">
        <v>38</v>
      </c>
    </row>
    <row r="42" spans="1:3">
      <c r="A42" s="2" t="s">
        <v>60</v>
      </c>
      <c r="B42" t="s">
        <v>1126</v>
      </c>
      <c r="C42">
        <v>51</v>
      </c>
    </row>
    <row r="43" spans="1:3">
      <c r="A43" s="2" t="s">
        <v>74</v>
      </c>
      <c r="B43" t="s">
        <v>1126</v>
      </c>
      <c r="C43">
        <v>63</v>
      </c>
    </row>
  </sheetData>
  <mergeCells count="1">
    <mergeCell ref="O3:X17"/>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4"/>
  <sheetViews>
    <sheetView workbookViewId="0">
      <selection activeCell="A33" sqref="A33:U33"/>
    </sheetView>
  </sheetViews>
  <sheetFormatPr defaultColWidth="9" defaultRowHeight="13.5"/>
  <sheetData>
    <row r="1" spans="1:21">
      <c r="A1" s="199" t="s">
        <v>1</v>
      </c>
      <c r="B1" s="199"/>
      <c r="C1" s="199"/>
      <c r="D1" s="199"/>
      <c r="E1" s="199"/>
      <c r="F1" s="199"/>
      <c r="G1" s="199"/>
      <c r="H1" s="199"/>
      <c r="I1" s="199"/>
      <c r="J1" s="199"/>
      <c r="K1" s="199"/>
      <c r="L1" s="199"/>
      <c r="M1" s="199"/>
      <c r="N1" s="199"/>
      <c r="O1" s="199"/>
      <c r="P1" s="199"/>
      <c r="Q1" s="199"/>
      <c r="R1" s="199"/>
      <c r="S1" s="199"/>
      <c r="T1" s="199"/>
      <c r="U1" s="199"/>
    </row>
    <row r="2" spans="1:21">
      <c r="A2" s="24" t="s">
        <v>2</v>
      </c>
      <c r="B2" s="24"/>
      <c r="C2" s="24"/>
      <c r="D2" s="24"/>
      <c r="E2" s="24"/>
      <c r="F2" s="24"/>
      <c r="G2" s="24"/>
      <c r="H2" s="24"/>
      <c r="I2" s="24"/>
      <c r="J2" s="24"/>
      <c r="K2" s="24"/>
      <c r="L2" s="24"/>
      <c r="M2" s="24"/>
      <c r="N2" s="24"/>
      <c r="O2" s="24"/>
      <c r="P2" s="24"/>
      <c r="Q2" s="24"/>
      <c r="R2" s="24"/>
      <c r="S2" s="24"/>
      <c r="T2" s="24"/>
      <c r="U2" s="24"/>
    </row>
    <row r="3" spans="1:21">
      <c r="A3" s="24" t="s">
        <v>3</v>
      </c>
      <c r="B3" s="24"/>
      <c r="C3" s="24"/>
      <c r="D3" s="24"/>
      <c r="E3" s="24"/>
      <c r="F3" s="24"/>
      <c r="G3" s="24"/>
      <c r="H3" s="24"/>
      <c r="I3" s="24"/>
      <c r="J3" s="24"/>
      <c r="K3" s="24"/>
      <c r="L3" s="24"/>
      <c r="M3" s="24"/>
      <c r="N3" s="24"/>
      <c r="O3" s="24"/>
      <c r="P3" s="24"/>
      <c r="Q3" s="24"/>
      <c r="R3" s="24"/>
      <c r="S3" s="24"/>
      <c r="T3" s="24"/>
      <c r="U3" s="24"/>
    </row>
    <row r="4" spans="1:21">
      <c r="A4" s="24" t="s">
        <v>4</v>
      </c>
      <c r="B4" s="24"/>
      <c r="C4" s="24"/>
      <c r="D4" s="24"/>
      <c r="E4" s="24"/>
      <c r="F4" s="24"/>
      <c r="G4" s="24"/>
      <c r="H4" s="24"/>
      <c r="I4" s="24"/>
      <c r="J4" s="24"/>
      <c r="K4" s="24"/>
      <c r="L4" s="24"/>
      <c r="M4" s="24"/>
      <c r="N4" s="24"/>
      <c r="O4" s="24"/>
      <c r="P4" s="24"/>
      <c r="Q4" s="24"/>
      <c r="R4" s="24"/>
      <c r="S4" s="24"/>
      <c r="T4" s="24"/>
      <c r="U4" s="24"/>
    </row>
    <row r="5" spans="1:21">
      <c r="A5" s="24" t="s">
        <v>5</v>
      </c>
      <c r="B5" s="24"/>
      <c r="C5" s="24"/>
      <c r="D5" s="24"/>
      <c r="E5" s="24"/>
      <c r="F5" s="24"/>
      <c r="G5" s="24"/>
      <c r="H5" s="24"/>
      <c r="I5" s="24"/>
      <c r="J5" s="24"/>
      <c r="K5" s="24"/>
      <c r="L5" s="24"/>
      <c r="M5" s="24"/>
      <c r="N5" s="24"/>
      <c r="O5" s="24"/>
      <c r="P5" s="24"/>
      <c r="Q5" s="24"/>
      <c r="R5" s="24"/>
      <c r="S5" s="24"/>
      <c r="T5" s="24"/>
      <c r="U5" s="24"/>
    </row>
    <row r="6" spans="1:21">
      <c r="A6" s="24" t="s">
        <v>6</v>
      </c>
      <c r="B6" s="24"/>
      <c r="C6" s="24"/>
      <c r="D6" s="24"/>
      <c r="E6" s="24"/>
      <c r="F6" s="24"/>
      <c r="G6" s="24"/>
      <c r="H6" s="24"/>
      <c r="I6" s="24"/>
      <c r="J6" s="24"/>
      <c r="K6" s="24"/>
      <c r="L6" s="24"/>
      <c r="M6" s="24"/>
      <c r="N6" s="24"/>
      <c r="O6" s="24"/>
      <c r="P6" s="24"/>
      <c r="Q6" s="24"/>
      <c r="R6" s="24"/>
      <c r="S6" s="24"/>
      <c r="T6" s="24"/>
      <c r="U6" s="24"/>
    </row>
    <row r="7" spans="1:21">
      <c r="A7" s="24"/>
      <c r="B7" s="24"/>
      <c r="C7" s="24"/>
      <c r="D7" s="24"/>
      <c r="E7" s="24"/>
      <c r="F7" s="24"/>
      <c r="G7" s="24"/>
      <c r="H7" s="24"/>
      <c r="I7" s="24"/>
      <c r="J7" s="24"/>
      <c r="K7" s="24"/>
      <c r="L7" s="24"/>
      <c r="M7" s="24"/>
      <c r="N7" s="24"/>
      <c r="O7" s="24"/>
      <c r="P7" s="24"/>
      <c r="Q7" s="24"/>
      <c r="R7" s="24"/>
      <c r="S7" s="24"/>
      <c r="T7" s="24"/>
      <c r="U7" s="24"/>
    </row>
    <row r="8" spans="1:21">
      <c r="A8" s="24"/>
      <c r="B8" s="24"/>
      <c r="C8" s="24"/>
      <c r="D8" s="24"/>
      <c r="E8" s="24"/>
      <c r="F8" s="24"/>
      <c r="G8" s="24"/>
      <c r="H8" s="24"/>
      <c r="I8" s="24"/>
      <c r="J8" s="24"/>
      <c r="K8" s="24"/>
      <c r="L8" s="24"/>
      <c r="M8" s="24"/>
      <c r="N8" s="24"/>
      <c r="O8" s="24"/>
      <c r="P8" s="24"/>
      <c r="Q8" s="24"/>
      <c r="R8" s="24"/>
      <c r="S8" s="24"/>
      <c r="T8" s="24"/>
      <c r="U8" s="24"/>
    </row>
    <row r="9" spans="1:21">
      <c r="A9" s="24"/>
      <c r="B9" s="24"/>
      <c r="C9" s="24"/>
      <c r="D9" s="24"/>
      <c r="E9" s="24"/>
      <c r="F9" s="24"/>
      <c r="G9" s="24"/>
      <c r="H9" s="24"/>
      <c r="I9" s="24"/>
      <c r="J9" s="24"/>
      <c r="K9" s="24"/>
      <c r="L9" s="24"/>
      <c r="M9" s="24"/>
      <c r="N9" s="24"/>
      <c r="O9" s="24"/>
      <c r="P9" s="24"/>
      <c r="Q9" s="24"/>
      <c r="R9" s="24"/>
      <c r="S9" s="24"/>
      <c r="T9" s="24"/>
      <c r="U9" s="24"/>
    </row>
    <row r="10" spans="1:21">
      <c r="A10" s="24"/>
      <c r="B10" s="24"/>
      <c r="C10" s="24"/>
      <c r="D10" s="24"/>
      <c r="E10" s="24"/>
      <c r="F10" s="24"/>
      <c r="G10" s="24"/>
      <c r="H10" s="24"/>
      <c r="I10" s="24"/>
      <c r="J10" s="24"/>
      <c r="K10" s="24"/>
      <c r="L10" s="24"/>
      <c r="M10" s="24"/>
      <c r="N10" s="24"/>
      <c r="O10" s="24"/>
      <c r="P10" s="24"/>
      <c r="Q10" s="24"/>
      <c r="R10" s="24"/>
      <c r="S10" s="24"/>
      <c r="T10" s="24"/>
      <c r="U10" s="24"/>
    </row>
    <row r="11" spans="1:21">
      <c r="A11" s="24"/>
      <c r="B11" s="24"/>
      <c r="C11" s="24"/>
      <c r="D11" s="24"/>
      <c r="E11" s="24"/>
      <c r="F11" s="24"/>
      <c r="G11" s="24"/>
      <c r="H11" s="24"/>
      <c r="I11" s="24"/>
      <c r="J11" s="24"/>
      <c r="K11" s="24"/>
      <c r="L11" s="24"/>
      <c r="M11" s="24"/>
      <c r="N11" s="24"/>
      <c r="O11" s="24"/>
      <c r="P11" s="24"/>
      <c r="Q11" s="24"/>
      <c r="R11" s="24"/>
      <c r="S11" s="24"/>
      <c r="T11" s="24"/>
      <c r="U11" s="24"/>
    </row>
    <row r="12" spans="1:21">
      <c r="A12" s="199" t="s">
        <v>7</v>
      </c>
      <c r="B12" s="199"/>
      <c r="C12" s="199"/>
      <c r="D12" s="199"/>
      <c r="E12" s="199"/>
      <c r="F12" s="199"/>
      <c r="G12" s="199"/>
      <c r="H12" s="199"/>
      <c r="I12" s="199"/>
      <c r="J12" s="199"/>
      <c r="K12" s="199"/>
      <c r="L12" s="199"/>
      <c r="M12" s="199"/>
      <c r="N12" s="199"/>
      <c r="O12" s="199"/>
      <c r="P12" s="199"/>
      <c r="Q12" s="199"/>
      <c r="R12" s="199"/>
      <c r="S12" s="199"/>
      <c r="T12" s="199"/>
      <c r="U12" s="199"/>
    </row>
    <row r="13" spans="1:21">
      <c r="A13" s="24" t="s">
        <v>8</v>
      </c>
      <c r="B13" s="24"/>
      <c r="C13" s="24"/>
      <c r="D13" s="24"/>
      <c r="E13" s="24"/>
      <c r="F13" s="24"/>
      <c r="G13" s="24"/>
      <c r="H13" s="24"/>
      <c r="I13" s="24"/>
      <c r="J13" s="24"/>
      <c r="K13" s="24"/>
      <c r="L13" s="24"/>
      <c r="M13" s="24"/>
      <c r="N13" s="24"/>
      <c r="O13" s="24"/>
      <c r="P13" s="24"/>
      <c r="Q13" s="24"/>
      <c r="R13" s="24"/>
      <c r="S13" s="24"/>
      <c r="T13" s="24"/>
      <c r="U13" s="24"/>
    </row>
    <row r="14" spans="1:21">
      <c r="A14" s="24" t="s">
        <v>9</v>
      </c>
      <c r="B14" s="24"/>
      <c r="C14" s="24"/>
      <c r="D14" s="24"/>
      <c r="E14" s="24"/>
      <c r="F14" s="24"/>
      <c r="G14" s="24"/>
      <c r="H14" s="24"/>
      <c r="I14" s="24"/>
      <c r="J14" s="24"/>
      <c r="K14" s="24"/>
      <c r="L14" s="24"/>
      <c r="M14" s="24"/>
      <c r="N14" s="24"/>
      <c r="O14" s="24"/>
      <c r="P14" s="24"/>
      <c r="Q14" s="24"/>
      <c r="R14" s="24"/>
      <c r="S14" s="24"/>
      <c r="T14" s="24"/>
      <c r="U14" s="24"/>
    </row>
    <row r="15" spans="1:21">
      <c r="A15" s="24" t="s">
        <v>10</v>
      </c>
      <c r="B15" s="24"/>
      <c r="C15" s="24"/>
      <c r="D15" s="24"/>
      <c r="E15" s="24"/>
      <c r="F15" s="24"/>
      <c r="G15" s="24"/>
      <c r="H15" s="24"/>
      <c r="I15" s="24"/>
      <c r="J15" s="24"/>
      <c r="K15" s="24"/>
      <c r="L15" s="24"/>
      <c r="M15" s="24"/>
      <c r="N15" s="24"/>
      <c r="O15" s="24"/>
      <c r="P15" s="24"/>
      <c r="Q15" s="24"/>
      <c r="R15" s="24"/>
      <c r="S15" s="24"/>
      <c r="T15" s="24"/>
      <c r="U15" s="24"/>
    </row>
    <row r="16" spans="1:21">
      <c r="A16" s="24" t="s">
        <v>11</v>
      </c>
      <c r="B16" s="24"/>
      <c r="C16" s="24"/>
      <c r="D16" s="24"/>
      <c r="E16" s="24"/>
      <c r="F16" s="24"/>
      <c r="G16" s="24"/>
      <c r="H16" s="24"/>
      <c r="I16" s="24"/>
      <c r="J16" s="24"/>
      <c r="K16" s="24"/>
      <c r="L16" s="24"/>
      <c r="M16" s="24"/>
      <c r="N16" s="24"/>
      <c r="O16" s="24"/>
      <c r="P16" s="24"/>
      <c r="Q16" s="24"/>
      <c r="R16" s="24"/>
      <c r="S16" s="24"/>
      <c r="T16" s="24"/>
      <c r="U16" s="24"/>
    </row>
    <row r="17" spans="1:21">
      <c r="A17" s="24" t="s">
        <v>12</v>
      </c>
      <c r="B17" s="24"/>
      <c r="C17" s="24"/>
      <c r="D17" s="24"/>
      <c r="E17" s="24"/>
      <c r="F17" s="24"/>
      <c r="G17" s="24"/>
      <c r="H17" s="24"/>
      <c r="I17" s="24"/>
      <c r="J17" s="24"/>
      <c r="K17" s="24"/>
      <c r="L17" s="24"/>
      <c r="M17" s="24"/>
      <c r="N17" s="24"/>
      <c r="O17" s="24"/>
      <c r="P17" s="24"/>
      <c r="Q17" s="24"/>
      <c r="R17" s="24"/>
      <c r="S17" s="24"/>
      <c r="T17" s="24"/>
      <c r="U17" s="24"/>
    </row>
    <row r="18" spans="1:21">
      <c r="A18" s="24" t="s">
        <v>13</v>
      </c>
      <c r="B18" s="24"/>
      <c r="C18" s="24"/>
      <c r="D18" s="24"/>
      <c r="E18" s="24"/>
      <c r="F18" s="24"/>
      <c r="G18" s="24"/>
      <c r="H18" s="24"/>
      <c r="I18" s="24"/>
      <c r="J18" s="24"/>
      <c r="K18" s="24"/>
      <c r="L18" s="24"/>
      <c r="M18" s="24"/>
      <c r="N18" s="24"/>
      <c r="O18" s="24"/>
      <c r="P18" s="24"/>
      <c r="Q18" s="24"/>
      <c r="R18" s="24"/>
      <c r="S18" s="24"/>
      <c r="T18" s="24"/>
      <c r="U18" s="24"/>
    </row>
    <row r="19" spans="1:21">
      <c r="A19" s="24" t="s">
        <v>14</v>
      </c>
      <c r="B19" s="24"/>
      <c r="C19" s="24"/>
      <c r="D19" s="24"/>
      <c r="E19" s="24"/>
      <c r="F19" s="24"/>
      <c r="G19" s="24"/>
      <c r="H19" s="24"/>
      <c r="I19" s="24"/>
      <c r="J19" s="24"/>
      <c r="K19" s="24"/>
      <c r="L19" s="24"/>
      <c r="M19" s="24"/>
      <c r="N19" s="24"/>
      <c r="O19" s="24"/>
      <c r="P19" s="24"/>
      <c r="Q19" s="24"/>
      <c r="R19" s="24"/>
      <c r="S19" s="24"/>
      <c r="T19" s="24"/>
      <c r="U19" s="24"/>
    </row>
    <row r="20" spans="1:21">
      <c r="A20" s="24" t="s">
        <v>15</v>
      </c>
      <c r="B20" s="24"/>
      <c r="C20" s="24"/>
      <c r="D20" s="24"/>
      <c r="E20" s="24"/>
      <c r="F20" s="24"/>
      <c r="G20" s="24"/>
      <c r="H20" s="24"/>
      <c r="I20" s="24"/>
      <c r="J20" s="24"/>
      <c r="K20" s="24"/>
      <c r="L20" s="24"/>
      <c r="M20" s="24"/>
      <c r="N20" s="24"/>
      <c r="O20" s="24"/>
      <c r="P20" s="24"/>
      <c r="Q20" s="24"/>
      <c r="R20" s="24"/>
      <c r="S20" s="24"/>
      <c r="T20" s="24"/>
      <c r="U20" s="24"/>
    </row>
    <row r="21" spans="1:21">
      <c r="A21" s="24" t="s">
        <v>16</v>
      </c>
      <c r="B21" s="24"/>
      <c r="C21" s="24"/>
      <c r="D21" s="24"/>
      <c r="E21" s="24"/>
      <c r="F21" s="24"/>
      <c r="G21" s="24"/>
      <c r="H21" s="24"/>
      <c r="I21" s="24"/>
      <c r="J21" s="24"/>
      <c r="K21" s="24"/>
      <c r="L21" s="24"/>
      <c r="M21" s="24"/>
      <c r="N21" s="24"/>
      <c r="O21" s="24"/>
      <c r="P21" s="24"/>
      <c r="Q21" s="24"/>
      <c r="R21" s="24"/>
      <c r="S21" s="24"/>
      <c r="T21" s="24"/>
      <c r="U21" s="24"/>
    </row>
    <row r="22" spans="1:21">
      <c r="A22" s="24" t="s">
        <v>17</v>
      </c>
      <c r="B22" s="24"/>
      <c r="C22" s="24"/>
      <c r="D22" s="24"/>
      <c r="E22" s="24"/>
      <c r="F22" s="24"/>
      <c r="G22" s="24"/>
      <c r="H22" s="24"/>
      <c r="I22" s="24"/>
      <c r="J22" s="24"/>
      <c r="K22" s="24"/>
      <c r="L22" s="24"/>
      <c r="M22" s="24"/>
      <c r="N22" s="24"/>
      <c r="O22" s="24"/>
      <c r="P22" s="24"/>
      <c r="Q22" s="24"/>
      <c r="R22" s="24"/>
      <c r="S22" s="24"/>
      <c r="T22" s="24"/>
      <c r="U22" s="24"/>
    </row>
    <row r="23" spans="1:21">
      <c r="A23" s="24" t="s">
        <v>18</v>
      </c>
      <c r="B23" s="24"/>
      <c r="C23" s="24"/>
      <c r="D23" s="24"/>
      <c r="E23" s="24"/>
      <c r="F23" s="24"/>
      <c r="G23" s="24"/>
      <c r="H23" s="24"/>
      <c r="I23" s="24"/>
      <c r="J23" s="24"/>
      <c r="K23" s="24"/>
      <c r="L23" s="24"/>
      <c r="M23" s="24"/>
      <c r="N23" s="24"/>
      <c r="O23" s="24"/>
      <c r="P23" s="24"/>
      <c r="Q23" s="24"/>
      <c r="R23" s="24"/>
      <c r="S23" s="24"/>
      <c r="T23" s="24"/>
      <c r="U23" s="24"/>
    </row>
    <row r="24" spans="1:21">
      <c r="A24" s="24" t="s">
        <v>19</v>
      </c>
      <c r="B24" s="24"/>
      <c r="C24" s="24"/>
      <c r="D24" s="24"/>
      <c r="E24" s="24"/>
      <c r="F24" s="24"/>
      <c r="G24" s="24"/>
      <c r="H24" s="24"/>
      <c r="I24" s="24"/>
      <c r="J24" s="24"/>
      <c r="K24" s="24"/>
      <c r="L24" s="24"/>
      <c r="M24" s="24"/>
      <c r="N24" s="24"/>
      <c r="O24" s="24"/>
      <c r="P24" s="24"/>
      <c r="Q24" s="24"/>
      <c r="R24" s="24"/>
      <c r="S24" s="24"/>
      <c r="T24" s="24"/>
      <c r="U24" s="24"/>
    </row>
    <row r="25" spans="1:21">
      <c r="A25" s="24"/>
      <c r="B25" s="24"/>
      <c r="C25" s="24"/>
      <c r="D25" s="24"/>
      <c r="E25" s="24"/>
      <c r="F25" s="24"/>
      <c r="G25" s="24"/>
      <c r="H25" s="24"/>
      <c r="I25" s="24"/>
      <c r="J25" s="24"/>
      <c r="K25" s="24"/>
      <c r="L25" s="24"/>
      <c r="M25" s="24"/>
      <c r="N25" s="24"/>
      <c r="O25" s="24"/>
      <c r="P25" s="24"/>
      <c r="Q25" s="24"/>
      <c r="R25" s="24"/>
      <c r="S25" s="24"/>
      <c r="T25" s="24"/>
      <c r="U25" s="24"/>
    </row>
    <row r="26" spans="1:21">
      <c r="A26" s="24"/>
      <c r="B26" s="24"/>
      <c r="C26" s="24"/>
      <c r="D26" s="24"/>
      <c r="E26" s="24"/>
      <c r="F26" s="24"/>
      <c r="G26" s="24"/>
      <c r="H26" s="24"/>
      <c r="I26" s="24"/>
      <c r="J26" s="24"/>
      <c r="K26" s="24"/>
      <c r="L26" s="24"/>
      <c r="M26" s="24"/>
      <c r="N26" s="24"/>
      <c r="O26" s="24"/>
      <c r="P26" s="24"/>
      <c r="Q26" s="24"/>
      <c r="R26" s="24"/>
      <c r="S26" s="24"/>
      <c r="T26" s="24"/>
      <c r="U26" s="24"/>
    </row>
    <row r="27" spans="1:21">
      <c r="A27" s="24"/>
      <c r="B27" s="24"/>
      <c r="C27" s="24"/>
      <c r="D27" s="24"/>
      <c r="E27" s="24"/>
      <c r="F27" s="24"/>
      <c r="G27" s="24"/>
      <c r="H27" s="24"/>
      <c r="I27" s="24"/>
      <c r="J27" s="24"/>
      <c r="K27" s="24"/>
      <c r="L27" s="24"/>
      <c r="M27" s="24"/>
      <c r="N27" s="24"/>
      <c r="O27" s="24"/>
      <c r="P27" s="24"/>
      <c r="Q27" s="24"/>
      <c r="R27" s="24"/>
      <c r="S27" s="24"/>
      <c r="T27" s="24"/>
      <c r="U27" s="24"/>
    </row>
    <row r="28" spans="1:21">
      <c r="A28" s="24"/>
      <c r="B28" s="24"/>
      <c r="C28" s="24"/>
      <c r="D28" s="24"/>
      <c r="E28" s="24"/>
      <c r="F28" s="24"/>
      <c r="G28" s="24"/>
      <c r="H28" s="24"/>
      <c r="I28" s="24"/>
      <c r="J28" s="24"/>
      <c r="K28" s="24"/>
      <c r="L28" s="24"/>
      <c r="M28" s="24"/>
      <c r="N28" s="24"/>
      <c r="O28" s="24"/>
      <c r="P28" s="24"/>
      <c r="Q28" s="24"/>
      <c r="R28" s="24"/>
      <c r="S28" s="24"/>
      <c r="T28" s="24"/>
      <c r="U28" s="24"/>
    </row>
    <row r="29" spans="1:21">
      <c r="A29" s="24"/>
      <c r="B29" s="24"/>
      <c r="C29" s="24"/>
      <c r="D29" s="24"/>
      <c r="E29" s="24"/>
      <c r="F29" s="24"/>
      <c r="G29" s="24"/>
      <c r="H29" s="24"/>
      <c r="I29" s="24"/>
      <c r="J29" s="24"/>
      <c r="K29" s="24"/>
      <c r="L29" s="24"/>
      <c r="M29" s="24"/>
      <c r="N29" s="24"/>
      <c r="O29" s="24"/>
      <c r="P29" s="24"/>
      <c r="Q29" s="24"/>
      <c r="R29" s="24"/>
      <c r="S29" s="24"/>
      <c r="T29" s="24"/>
      <c r="U29" s="24"/>
    </row>
    <row r="30" spans="1:21">
      <c r="A30" s="24"/>
      <c r="B30" s="24"/>
      <c r="C30" s="24"/>
      <c r="D30" s="24"/>
      <c r="E30" s="24"/>
      <c r="F30" s="24"/>
      <c r="G30" s="24"/>
      <c r="H30" s="24"/>
      <c r="I30" s="24"/>
      <c r="J30" s="24"/>
      <c r="K30" s="24"/>
      <c r="L30" s="24"/>
      <c r="M30" s="24"/>
      <c r="N30" s="24"/>
      <c r="O30" s="24"/>
      <c r="P30" s="24"/>
      <c r="Q30" s="24"/>
      <c r="R30" s="24"/>
      <c r="S30" s="24"/>
      <c r="T30" s="24"/>
      <c r="U30" s="24"/>
    </row>
    <row r="31" spans="1:21">
      <c r="A31" s="24"/>
      <c r="B31" s="24"/>
      <c r="C31" s="24"/>
      <c r="D31" s="24"/>
      <c r="E31" s="24"/>
      <c r="F31" s="24"/>
      <c r="G31" s="24"/>
      <c r="H31" s="24"/>
      <c r="I31" s="24"/>
      <c r="J31" s="24"/>
      <c r="K31" s="24"/>
      <c r="L31" s="24"/>
      <c r="M31" s="24"/>
      <c r="N31" s="24"/>
      <c r="O31" s="24"/>
      <c r="P31" s="24"/>
      <c r="Q31" s="24"/>
      <c r="R31" s="24"/>
      <c r="S31" s="24"/>
      <c r="T31" s="24"/>
      <c r="U31" s="24"/>
    </row>
    <row r="32" spans="1:21">
      <c r="A32" s="24"/>
      <c r="B32" s="24"/>
      <c r="C32" s="24"/>
      <c r="D32" s="24"/>
      <c r="E32" s="24"/>
      <c r="F32" s="24"/>
      <c r="G32" s="24"/>
      <c r="H32" s="24"/>
      <c r="I32" s="24"/>
      <c r="J32" s="24"/>
      <c r="K32" s="24"/>
      <c r="L32" s="24"/>
      <c r="M32" s="24"/>
      <c r="N32" s="24"/>
      <c r="O32" s="24"/>
      <c r="P32" s="24"/>
      <c r="Q32" s="24"/>
      <c r="R32" s="24"/>
      <c r="S32" s="24"/>
      <c r="T32" s="24"/>
      <c r="U32" s="24"/>
    </row>
    <row r="33" spans="1:21">
      <c r="A33" s="24"/>
      <c r="B33" s="24"/>
      <c r="C33" s="24"/>
      <c r="D33" s="24"/>
      <c r="E33" s="24"/>
      <c r="F33" s="24"/>
      <c r="G33" s="24"/>
      <c r="H33" s="24"/>
      <c r="I33" s="24"/>
      <c r="J33" s="24"/>
      <c r="K33" s="24"/>
      <c r="L33" s="24"/>
      <c r="M33" s="24"/>
      <c r="N33" s="24"/>
      <c r="O33" s="24"/>
      <c r="P33" s="24"/>
      <c r="Q33" s="24"/>
      <c r="R33" s="24"/>
      <c r="S33" s="24"/>
      <c r="T33" s="24"/>
      <c r="U33" s="24"/>
    </row>
    <row r="34" spans="1:21">
      <c r="A34" s="24"/>
      <c r="B34" s="24"/>
      <c r="C34" s="24"/>
      <c r="D34" s="24"/>
      <c r="E34" s="24"/>
      <c r="F34" s="24"/>
      <c r="G34" s="24"/>
      <c r="H34" s="24"/>
      <c r="I34" s="24"/>
      <c r="J34" s="24"/>
      <c r="K34" s="24"/>
      <c r="L34" s="24"/>
      <c r="M34" s="24"/>
      <c r="N34" s="24"/>
      <c r="O34" s="24"/>
      <c r="P34" s="24"/>
      <c r="Q34" s="24"/>
      <c r="R34" s="24"/>
      <c r="S34" s="24"/>
      <c r="T34" s="24"/>
      <c r="U34" s="24"/>
    </row>
    <row r="35" spans="1:21">
      <c r="A35" s="24"/>
      <c r="B35" s="24"/>
      <c r="C35" s="24"/>
      <c r="D35" s="24"/>
      <c r="E35" s="24"/>
      <c r="F35" s="24"/>
      <c r="G35" s="24"/>
      <c r="H35" s="24"/>
      <c r="I35" s="24"/>
      <c r="J35" s="24"/>
      <c r="K35" s="24"/>
      <c r="L35" s="24"/>
      <c r="M35" s="24"/>
      <c r="N35" s="24"/>
      <c r="O35" s="24"/>
      <c r="P35" s="24"/>
      <c r="Q35" s="24"/>
      <c r="R35" s="24"/>
      <c r="S35" s="24"/>
      <c r="T35" s="24"/>
      <c r="U35" s="24"/>
    </row>
    <row r="36" spans="1:21">
      <c r="A36" s="24"/>
      <c r="B36" s="24"/>
      <c r="C36" s="24"/>
      <c r="D36" s="24"/>
      <c r="E36" s="24"/>
      <c r="F36" s="24"/>
      <c r="G36" s="24"/>
      <c r="H36" s="24"/>
      <c r="I36" s="24"/>
      <c r="J36" s="24"/>
      <c r="K36" s="24"/>
      <c r="L36" s="24"/>
      <c r="M36" s="24"/>
      <c r="N36" s="24"/>
      <c r="O36" s="24"/>
      <c r="P36" s="24"/>
      <c r="Q36" s="24"/>
      <c r="R36" s="24"/>
      <c r="S36" s="24"/>
      <c r="T36" s="24"/>
      <c r="U36" s="24"/>
    </row>
    <row r="37" spans="1:21">
      <c r="A37" s="24"/>
      <c r="B37" s="24"/>
      <c r="C37" s="24"/>
      <c r="D37" s="24"/>
      <c r="E37" s="24"/>
      <c r="F37" s="24"/>
      <c r="G37" s="24"/>
      <c r="H37" s="24"/>
      <c r="I37" s="24"/>
      <c r="J37" s="24"/>
      <c r="K37" s="24"/>
      <c r="L37" s="24"/>
      <c r="M37" s="24"/>
      <c r="N37" s="24"/>
      <c r="O37" s="24"/>
      <c r="P37" s="24"/>
      <c r="Q37" s="24"/>
      <c r="R37" s="24"/>
      <c r="S37" s="24"/>
      <c r="T37" s="24"/>
      <c r="U37" s="24"/>
    </row>
    <row r="38" spans="1:21">
      <c r="A38" s="24"/>
      <c r="B38" s="24"/>
      <c r="C38" s="24"/>
      <c r="D38" s="24"/>
      <c r="E38" s="24"/>
      <c r="F38" s="24"/>
      <c r="G38" s="24"/>
      <c r="H38" s="24"/>
      <c r="I38" s="24"/>
      <c r="J38" s="24"/>
      <c r="K38" s="24"/>
      <c r="L38" s="24"/>
      <c r="M38" s="24"/>
      <c r="N38" s="24"/>
      <c r="O38" s="24"/>
      <c r="P38" s="24"/>
      <c r="Q38" s="24"/>
      <c r="R38" s="24"/>
      <c r="S38" s="24"/>
      <c r="T38" s="24"/>
      <c r="U38" s="24"/>
    </row>
    <row r="39" spans="1:21">
      <c r="A39" s="24"/>
      <c r="B39" s="24"/>
      <c r="C39" s="24"/>
      <c r="D39" s="24"/>
      <c r="E39" s="24"/>
      <c r="F39" s="24"/>
      <c r="G39" s="24"/>
      <c r="H39" s="24"/>
      <c r="I39" s="24"/>
      <c r="J39" s="24"/>
      <c r="K39" s="24"/>
      <c r="L39" s="24"/>
      <c r="M39" s="24"/>
      <c r="N39" s="24"/>
      <c r="O39" s="24"/>
      <c r="P39" s="24"/>
      <c r="Q39" s="24"/>
      <c r="R39" s="24"/>
      <c r="S39" s="24"/>
      <c r="T39" s="24"/>
      <c r="U39" s="24"/>
    </row>
    <row r="40" spans="1:21">
      <c r="A40" s="24"/>
      <c r="B40" s="24"/>
      <c r="C40" s="24"/>
      <c r="D40" s="24"/>
      <c r="E40" s="24"/>
      <c r="F40" s="24"/>
      <c r="G40" s="24"/>
      <c r="H40" s="24"/>
      <c r="I40" s="24"/>
      <c r="J40" s="24"/>
      <c r="K40" s="24"/>
      <c r="L40" s="24"/>
      <c r="M40" s="24"/>
      <c r="N40" s="24"/>
      <c r="O40" s="24"/>
      <c r="P40" s="24"/>
      <c r="Q40" s="24"/>
      <c r="R40" s="24"/>
      <c r="S40" s="24"/>
      <c r="T40" s="24"/>
      <c r="U40" s="24"/>
    </row>
    <row r="41" spans="1:21">
      <c r="A41" s="24"/>
      <c r="B41" s="24"/>
      <c r="C41" s="24"/>
      <c r="D41" s="24"/>
      <c r="E41" s="24"/>
      <c r="F41" s="24"/>
      <c r="G41" s="24"/>
      <c r="H41" s="24"/>
      <c r="I41" s="24"/>
      <c r="J41" s="24"/>
      <c r="K41" s="24"/>
      <c r="L41" s="24"/>
      <c r="M41" s="24"/>
      <c r="N41" s="24"/>
      <c r="O41" s="24"/>
      <c r="P41" s="24"/>
      <c r="Q41" s="24"/>
      <c r="R41" s="24"/>
      <c r="S41" s="24"/>
      <c r="T41" s="24"/>
      <c r="U41" s="24"/>
    </row>
    <row r="42" spans="1:21">
      <c r="A42" s="24"/>
      <c r="B42" s="24"/>
      <c r="C42" s="24"/>
      <c r="D42" s="24"/>
      <c r="E42" s="24"/>
      <c r="F42" s="24"/>
      <c r="G42" s="24"/>
      <c r="H42" s="24"/>
      <c r="I42" s="24"/>
      <c r="J42" s="24"/>
      <c r="K42" s="24"/>
      <c r="L42" s="24"/>
      <c r="M42" s="24"/>
      <c r="N42" s="24"/>
      <c r="O42" s="24"/>
      <c r="P42" s="24"/>
      <c r="Q42" s="24"/>
      <c r="R42" s="24"/>
      <c r="S42" s="24"/>
      <c r="T42" s="24"/>
      <c r="U42" s="24"/>
    </row>
    <row r="43" spans="1:21">
      <c r="A43" s="24"/>
      <c r="B43" s="24"/>
      <c r="C43" s="24"/>
      <c r="D43" s="24"/>
      <c r="E43" s="24"/>
      <c r="F43" s="24"/>
      <c r="G43" s="24"/>
      <c r="H43" s="24"/>
      <c r="I43" s="24"/>
      <c r="J43" s="24"/>
      <c r="K43" s="24"/>
      <c r="L43" s="24"/>
      <c r="M43" s="24"/>
      <c r="N43" s="24"/>
      <c r="O43" s="24"/>
      <c r="P43" s="24"/>
      <c r="Q43" s="24"/>
      <c r="R43" s="24"/>
      <c r="S43" s="24"/>
      <c r="T43" s="24"/>
      <c r="U43" s="24"/>
    </row>
    <row r="44" spans="1:21">
      <c r="A44" s="24"/>
      <c r="B44" s="24"/>
      <c r="C44" s="24"/>
      <c r="D44" s="24"/>
      <c r="E44" s="24"/>
      <c r="F44" s="24"/>
      <c r="G44" s="24"/>
      <c r="H44" s="24"/>
      <c r="I44" s="24"/>
      <c r="J44" s="24"/>
      <c r="K44" s="24"/>
      <c r="L44" s="24"/>
      <c r="M44" s="24"/>
      <c r="N44" s="24"/>
      <c r="O44" s="24"/>
      <c r="P44" s="24"/>
      <c r="Q44" s="24"/>
      <c r="R44" s="24"/>
      <c r="S44" s="24"/>
      <c r="T44" s="24"/>
      <c r="U44" s="24"/>
    </row>
  </sheetData>
  <mergeCells count="44">
    <mergeCell ref="A1:U1"/>
    <mergeCell ref="A2:U2"/>
    <mergeCell ref="A3:U3"/>
    <mergeCell ref="A4:U4"/>
    <mergeCell ref="A5:U5"/>
    <mergeCell ref="A6:U6"/>
    <mergeCell ref="A7:U7"/>
    <mergeCell ref="A8:U8"/>
    <mergeCell ref="A9:U9"/>
    <mergeCell ref="A10:U10"/>
    <mergeCell ref="A11:U11"/>
    <mergeCell ref="A12:U12"/>
    <mergeCell ref="A13:U13"/>
    <mergeCell ref="A14:U14"/>
    <mergeCell ref="A15:U15"/>
    <mergeCell ref="A16:U16"/>
    <mergeCell ref="A17:U17"/>
    <mergeCell ref="A18:U18"/>
    <mergeCell ref="A19:U19"/>
    <mergeCell ref="A20:U20"/>
    <mergeCell ref="A21:U21"/>
    <mergeCell ref="A22:U22"/>
    <mergeCell ref="A23:U23"/>
    <mergeCell ref="A24:U24"/>
    <mergeCell ref="A25:U25"/>
    <mergeCell ref="A26:U26"/>
    <mergeCell ref="A27:U27"/>
    <mergeCell ref="A28:U28"/>
    <mergeCell ref="A29:U29"/>
    <mergeCell ref="A30:U30"/>
    <mergeCell ref="A31:U31"/>
    <mergeCell ref="A32:U32"/>
    <mergeCell ref="A33:U33"/>
    <mergeCell ref="A34:U34"/>
    <mergeCell ref="A35:U35"/>
    <mergeCell ref="A36:U36"/>
    <mergeCell ref="A37:U37"/>
    <mergeCell ref="A38:U38"/>
    <mergeCell ref="A39:U39"/>
    <mergeCell ref="A40:U40"/>
    <mergeCell ref="A41:U41"/>
    <mergeCell ref="A42:U42"/>
    <mergeCell ref="A43:U43"/>
    <mergeCell ref="A44:U44"/>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5"/>
  <sheetViews>
    <sheetView zoomScale="85" zoomScaleNormal="85" workbookViewId="0">
      <selection activeCell="C8" sqref="C8"/>
    </sheetView>
  </sheetViews>
  <sheetFormatPr defaultColWidth="9" defaultRowHeight="13.5"/>
  <cols>
    <col min="1" max="1" width="7.125" customWidth="1"/>
    <col min="2" max="2" width="19.375" customWidth="1"/>
    <col min="3" max="3" width="23.225" customWidth="1"/>
    <col min="4" max="4" width="17.125" customWidth="1"/>
    <col min="5" max="5" width="19.125" customWidth="1"/>
    <col min="6" max="6" width="21.25" customWidth="1"/>
    <col min="7" max="7" width="21.325" customWidth="1"/>
    <col min="8" max="8" width="22.35" customWidth="1"/>
    <col min="9" max="9" width="21.9" customWidth="1"/>
    <col min="10" max="10" width="21.25" customWidth="1"/>
    <col min="11" max="11" width="12.875" customWidth="1"/>
    <col min="12" max="12" width="19.9916666666667" customWidth="1"/>
    <col min="19" max="19" width="12.625"/>
    <col min="21" max="22" width="12.625"/>
  </cols>
  <sheetData>
    <row r="1" ht="14.25"/>
    <row r="2" ht="14.25" spans="1:7">
      <c r="A2" s="161" t="s">
        <v>20</v>
      </c>
      <c r="B2" s="162"/>
      <c r="C2" s="162"/>
      <c r="D2" s="162"/>
      <c r="E2" s="162"/>
      <c r="F2" s="162"/>
      <c r="G2" s="163"/>
    </row>
    <row r="3" spans="1:7">
      <c r="A3" s="164" t="s">
        <v>21</v>
      </c>
      <c r="B3" s="165" t="s">
        <v>22</v>
      </c>
      <c r="C3" s="165" t="s">
        <v>23</v>
      </c>
      <c r="D3" s="165"/>
      <c r="E3" s="165" t="s">
        <v>24</v>
      </c>
      <c r="F3" s="165" t="s">
        <v>25</v>
      </c>
      <c r="G3" s="166" t="s">
        <v>26</v>
      </c>
    </row>
    <row r="4" spans="1:10">
      <c r="A4" s="167" t="s">
        <v>27</v>
      </c>
      <c r="B4" s="168" t="s">
        <v>28</v>
      </c>
      <c r="C4" s="168">
        <f t="shared" ref="C4:C15" si="0">B4/60</f>
        <v>0.916666666666667</v>
      </c>
      <c r="D4" s="147">
        <v>0.916666666666667</v>
      </c>
      <c r="E4" s="115">
        <f>1/C4</f>
        <v>1.09090909090909</v>
      </c>
      <c r="F4" s="147">
        <f t="shared" ref="F4:F15" si="1">D4/0.916667</f>
        <v>0.999999636363769</v>
      </c>
      <c r="G4" s="154" t="e">
        <f t="shared" ref="G4:G15" si="2">D4/D3</f>
        <v>#DIV/0!</v>
      </c>
      <c r="H4" s="81" t="s">
        <v>29</v>
      </c>
      <c r="I4" s="81"/>
      <c r="J4" s="81"/>
    </row>
    <row r="5" spans="1:10">
      <c r="A5" s="167" t="s">
        <v>30</v>
      </c>
      <c r="B5" s="168" t="s">
        <v>31</v>
      </c>
      <c r="C5" s="168">
        <f t="shared" si="0"/>
        <v>0.95</v>
      </c>
      <c r="D5" s="147">
        <v>0.95</v>
      </c>
      <c r="E5" s="115">
        <f t="shared" ref="E5:E15" si="3">1/C5</f>
        <v>1.05263157894737</v>
      </c>
      <c r="F5" s="147">
        <f t="shared" si="1"/>
        <v>1.03636325950427</v>
      </c>
      <c r="G5" s="154">
        <f t="shared" si="2"/>
        <v>1.03636363636364</v>
      </c>
      <c r="H5" s="81"/>
      <c r="I5" s="81"/>
      <c r="J5" s="81"/>
    </row>
    <row r="6" spans="1:10">
      <c r="A6" s="167" t="s">
        <v>32</v>
      </c>
      <c r="B6" s="168" t="s">
        <v>33</v>
      </c>
      <c r="C6" s="168">
        <f t="shared" si="0"/>
        <v>1</v>
      </c>
      <c r="D6" s="147">
        <v>1</v>
      </c>
      <c r="E6" s="115">
        <f t="shared" si="3"/>
        <v>1</v>
      </c>
      <c r="F6" s="147">
        <f t="shared" si="1"/>
        <v>1.09090869421502</v>
      </c>
      <c r="G6" s="154">
        <f t="shared" si="2"/>
        <v>1.05263157894737</v>
      </c>
      <c r="H6" s="81"/>
      <c r="I6" s="81"/>
      <c r="J6" s="81"/>
    </row>
    <row r="7" spans="1:10">
      <c r="A7" s="167" t="s">
        <v>34</v>
      </c>
      <c r="B7" s="168" t="s">
        <v>35</v>
      </c>
      <c r="C7" s="168">
        <f t="shared" si="0"/>
        <v>1.06666666666667</v>
      </c>
      <c r="D7" s="147">
        <v>1.06666666666667</v>
      </c>
      <c r="E7" s="115">
        <f t="shared" si="3"/>
        <v>0.9375</v>
      </c>
      <c r="F7" s="147">
        <f t="shared" si="1"/>
        <v>1.16363594049603</v>
      </c>
      <c r="G7" s="154">
        <f t="shared" si="2"/>
        <v>1.06666666666667</v>
      </c>
      <c r="H7" s="81"/>
      <c r="I7" s="81"/>
      <c r="J7" s="81"/>
    </row>
    <row r="8" spans="1:10">
      <c r="A8" s="167" t="s">
        <v>36</v>
      </c>
      <c r="B8" s="168" t="s">
        <v>37</v>
      </c>
      <c r="C8" s="168">
        <f t="shared" si="0"/>
        <v>1.11666666666667</v>
      </c>
      <c r="D8" s="147">
        <v>1.11666666666667</v>
      </c>
      <c r="E8" s="115">
        <f t="shared" si="3"/>
        <v>0.895522388059702</v>
      </c>
      <c r="F8" s="147">
        <f t="shared" si="1"/>
        <v>1.21818137520678</v>
      </c>
      <c r="G8" s="154">
        <f t="shared" si="2"/>
        <v>1.046875</v>
      </c>
      <c r="H8" s="81"/>
      <c r="I8" s="81"/>
      <c r="J8" s="81"/>
    </row>
    <row r="9" spans="1:10">
      <c r="A9" s="167" t="s">
        <v>38</v>
      </c>
      <c r="B9" s="168" t="s">
        <v>39</v>
      </c>
      <c r="C9" s="168">
        <f t="shared" si="0"/>
        <v>1.16666666666667</v>
      </c>
      <c r="D9" s="147">
        <v>1.16666666666667</v>
      </c>
      <c r="E9" s="115">
        <f t="shared" si="3"/>
        <v>0.857142857142857</v>
      </c>
      <c r="F9" s="147">
        <f t="shared" si="1"/>
        <v>1.27272680991753</v>
      </c>
      <c r="G9" s="154">
        <f t="shared" si="2"/>
        <v>1.04477611940298</v>
      </c>
      <c r="H9" s="81"/>
      <c r="I9" s="81"/>
      <c r="J9" s="81"/>
    </row>
    <row r="10" spans="1:10">
      <c r="A10" s="167" t="s">
        <v>40</v>
      </c>
      <c r="B10" s="168">
        <v>73</v>
      </c>
      <c r="C10" s="168">
        <f t="shared" si="0"/>
        <v>1.21666666666667</v>
      </c>
      <c r="D10" s="147">
        <v>1.21666666666667</v>
      </c>
      <c r="E10" s="115">
        <f t="shared" si="3"/>
        <v>0.821917808219178</v>
      </c>
      <c r="F10" s="147">
        <f t="shared" si="1"/>
        <v>1.32727224462828</v>
      </c>
      <c r="G10" s="154">
        <f t="shared" si="2"/>
        <v>1.04285714285714</v>
      </c>
      <c r="H10" s="81"/>
      <c r="I10" s="81"/>
      <c r="J10" s="81"/>
    </row>
    <row r="11" spans="1:7">
      <c r="A11" s="167" t="s">
        <v>41</v>
      </c>
      <c r="B11" s="168">
        <v>79</v>
      </c>
      <c r="C11" s="168">
        <f t="shared" si="0"/>
        <v>1.31666666666667</v>
      </c>
      <c r="D11" s="147">
        <v>1.31666666666667</v>
      </c>
      <c r="E11" s="115">
        <f t="shared" si="3"/>
        <v>0.759493670886076</v>
      </c>
      <c r="F11" s="147">
        <f t="shared" si="1"/>
        <v>1.43636311404978</v>
      </c>
      <c r="G11" s="154">
        <f t="shared" si="2"/>
        <v>1.08219178082192</v>
      </c>
    </row>
    <row r="12" spans="1:7">
      <c r="A12" s="167" t="s">
        <v>42</v>
      </c>
      <c r="B12" s="168">
        <v>85</v>
      </c>
      <c r="C12" s="168">
        <f t="shared" si="0"/>
        <v>1.41666666666667</v>
      </c>
      <c r="D12" s="147">
        <v>1.41666666666667</v>
      </c>
      <c r="E12" s="115">
        <f t="shared" si="3"/>
        <v>0.705882352941176</v>
      </c>
      <c r="F12" s="147">
        <f t="shared" si="1"/>
        <v>1.54545398347128</v>
      </c>
      <c r="G12" s="154">
        <f t="shared" si="2"/>
        <v>1.07594936708861</v>
      </c>
    </row>
    <row r="13" spans="1:7">
      <c r="A13" s="167" t="s">
        <v>43</v>
      </c>
      <c r="B13" s="168">
        <v>92</v>
      </c>
      <c r="C13" s="168">
        <f t="shared" si="0"/>
        <v>1.53333333333333</v>
      </c>
      <c r="D13" s="147">
        <v>1.53333333333333</v>
      </c>
      <c r="E13" s="115">
        <f t="shared" si="3"/>
        <v>0.652173913043478</v>
      </c>
      <c r="F13" s="147">
        <f t="shared" si="1"/>
        <v>1.67272666446303</v>
      </c>
      <c r="G13" s="154">
        <f t="shared" si="2"/>
        <v>1.08235294117647</v>
      </c>
    </row>
    <row r="14" spans="1:7">
      <c r="A14" s="167" t="s">
        <v>44</v>
      </c>
      <c r="B14" s="168">
        <v>99</v>
      </c>
      <c r="C14" s="168">
        <f t="shared" si="0"/>
        <v>1.65</v>
      </c>
      <c r="D14" s="147">
        <v>1.65</v>
      </c>
      <c r="E14" s="115">
        <f t="shared" si="3"/>
        <v>0.606060606060606</v>
      </c>
      <c r="F14" s="147">
        <f t="shared" si="1"/>
        <v>1.79999934545478</v>
      </c>
      <c r="G14" s="154">
        <f t="shared" si="2"/>
        <v>1.07608695652174</v>
      </c>
    </row>
    <row r="15" ht="14.25" spans="1:7">
      <c r="A15" s="169" t="s">
        <v>45</v>
      </c>
      <c r="B15" s="150">
        <v>97</v>
      </c>
      <c r="C15" s="170">
        <f t="shared" si="0"/>
        <v>1.61666666666667</v>
      </c>
      <c r="D15" s="171">
        <v>1.61666666666667</v>
      </c>
      <c r="E15" s="172">
        <f t="shared" si="3"/>
        <v>0.618556701030928</v>
      </c>
      <c r="F15" s="171">
        <f t="shared" si="1"/>
        <v>1.76363572231429</v>
      </c>
      <c r="G15" s="155">
        <f t="shared" si="2"/>
        <v>0.979797979797982</v>
      </c>
    </row>
    <row r="17" ht="14.25"/>
    <row r="18" spans="1:6">
      <c r="A18" s="173" t="s">
        <v>46</v>
      </c>
      <c r="B18" s="174"/>
      <c r="C18" s="174"/>
      <c r="D18" s="174"/>
      <c r="E18" s="174"/>
      <c r="F18" s="175"/>
    </row>
    <row r="19" spans="1:10">
      <c r="A19" s="176" t="s">
        <v>21</v>
      </c>
      <c r="B19" s="177" t="s">
        <v>23</v>
      </c>
      <c r="C19" s="178" t="s">
        <v>47</v>
      </c>
      <c r="D19" s="178" t="s">
        <v>48</v>
      </c>
      <c r="E19" s="178" t="s">
        <v>49</v>
      </c>
      <c r="F19" s="179" t="s">
        <v>48</v>
      </c>
      <c r="G19" s="81" t="s">
        <v>50</v>
      </c>
      <c r="H19" s="81"/>
      <c r="I19" s="81"/>
      <c r="J19" s="81"/>
    </row>
    <row r="20" spans="1:10">
      <c r="A20" s="167" t="s">
        <v>27</v>
      </c>
      <c r="B20" s="168">
        <v>0.916666666666667</v>
      </c>
      <c r="C20" s="115">
        <f>(600-E4)/(10+E4)/600</f>
        <v>0.09</v>
      </c>
      <c r="D20" s="115">
        <f>(600-E4)/(10+E4)+1</f>
        <v>55</v>
      </c>
      <c r="E20" s="115">
        <f>(600-E4)/(12+E4)/600</f>
        <v>0.07625</v>
      </c>
      <c r="F20" s="180">
        <f>(600-E4)/(12+E4)+1</f>
        <v>46.75</v>
      </c>
      <c r="G20" s="81"/>
      <c r="H20" s="81"/>
      <c r="I20" s="81"/>
      <c r="J20" s="81"/>
    </row>
    <row r="21" spans="1:10">
      <c r="A21" s="167" t="s">
        <v>30</v>
      </c>
      <c r="B21" s="168">
        <v>0.95</v>
      </c>
      <c r="C21" s="115">
        <f t="shared" ref="C21:C31" si="4">(600-E5)/(10+E5)/600</f>
        <v>0.0903174603174603</v>
      </c>
      <c r="D21" s="115">
        <f t="shared" ref="D21:D31" si="5">(600-E5)/(10+E5)+1</f>
        <v>55.1904761904762</v>
      </c>
      <c r="E21" s="115">
        <f t="shared" ref="E21:E31" si="6">(600-E5)/(12+E5)/600</f>
        <v>0.0764784946236559</v>
      </c>
      <c r="F21" s="180">
        <f t="shared" ref="F21:F31" si="7">(600-E5)/(12+E5)+1</f>
        <v>46.8870967741935</v>
      </c>
      <c r="G21" s="81"/>
      <c r="H21" s="81"/>
      <c r="I21" s="81"/>
      <c r="J21" s="81"/>
    </row>
    <row r="22" spans="1:10">
      <c r="A22" s="167" t="s">
        <v>32</v>
      </c>
      <c r="B22" s="168">
        <v>1</v>
      </c>
      <c r="C22" s="115">
        <f t="shared" si="4"/>
        <v>0.0907575757575758</v>
      </c>
      <c r="D22" s="115">
        <f t="shared" si="5"/>
        <v>55.4545454545455</v>
      </c>
      <c r="E22" s="115">
        <f t="shared" si="6"/>
        <v>0.0767948717948718</v>
      </c>
      <c r="F22" s="180">
        <f t="shared" si="7"/>
        <v>47.0769230769231</v>
      </c>
      <c r="G22" s="81"/>
      <c r="H22" s="81"/>
      <c r="I22" s="81"/>
      <c r="J22" s="81"/>
    </row>
    <row r="23" spans="1:10">
      <c r="A23" s="167" t="s">
        <v>34</v>
      </c>
      <c r="B23" s="168">
        <v>1.06666666666667</v>
      </c>
      <c r="C23" s="115">
        <f t="shared" si="4"/>
        <v>0.0912857142857143</v>
      </c>
      <c r="D23" s="115">
        <f t="shared" si="5"/>
        <v>55.7714285714286</v>
      </c>
      <c r="E23" s="115">
        <f t="shared" si="6"/>
        <v>0.0771739130434783</v>
      </c>
      <c r="F23" s="180">
        <f t="shared" si="7"/>
        <v>47.304347826087</v>
      </c>
      <c r="G23" s="81"/>
      <c r="H23" s="81"/>
      <c r="I23" s="81"/>
      <c r="J23" s="81"/>
    </row>
    <row r="24" spans="1:10">
      <c r="A24" s="167" t="s">
        <v>36</v>
      </c>
      <c r="B24" s="168">
        <v>1.11666666666667</v>
      </c>
      <c r="C24" s="115">
        <f t="shared" si="4"/>
        <v>0.0916438356164384</v>
      </c>
      <c r="D24" s="115">
        <f t="shared" si="5"/>
        <v>55.986301369863</v>
      </c>
      <c r="E24" s="115">
        <f t="shared" si="6"/>
        <v>0.0774305555555556</v>
      </c>
      <c r="F24" s="180">
        <f t="shared" si="7"/>
        <v>47.4583333333333</v>
      </c>
      <c r="G24" s="81"/>
      <c r="H24" s="81"/>
      <c r="I24" s="81"/>
      <c r="J24" s="81"/>
    </row>
    <row r="25" spans="1:10">
      <c r="A25" s="167" t="s">
        <v>38</v>
      </c>
      <c r="B25" s="168">
        <v>1.16666666666667</v>
      </c>
      <c r="C25" s="115">
        <f t="shared" si="4"/>
        <v>0.0919736842105263</v>
      </c>
      <c r="D25" s="115">
        <f t="shared" si="5"/>
        <v>56.1842105263158</v>
      </c>
      <c r="E25" s="115">
        <f t="shared" si="6"/>
        <v>0.0776666666666667</v>
      </c>
      <c r="F25" s="180">
        <f t="shared" si="7"/>
        <v>47.6</v>
      </c>
      <c r="G25" s="81"/>
      <c r="H25" s="81"/>
      <c r="I25" s="81"/>
      <c r="J25" s="81"/>
    </row>
    <row r="26" spans="1:10">
      <c r="A26" s="167" t="s">
        <v>40</v>
      </c>
      <c r="B26" s="168">
        <v>1.21666666666667</v>
      </c>
      <c r="C26" s="115">
        <f t="shared" si="4"/>
        <v>0.0922784810126582</v>
      </c>
      <c r="D26" s="115">
        <f t="shared" si="5"/>
        <v>56.3670886075949</v>
      </c>
      <c r="E26" s="115">
        <f t="shared" si="6"/>
        <v>0.0778846153846154</v>
      </c>
      <c r="F26" s="180">
        <f t="shared" si="7"/>
        <v>47.7307692307692</v>
      </c>
      <c r="G26" s="81"/>
      <c r="H26" s="81"/>
      <c r="I26" s="81"/>
      <c r="J26" s="81"/>
    </row>
    <row r="27" spans="1:10">
      <c r="A27" s="167" t="s">
        <v>41</v>
      </c>
      <c r="B27" s="168">
        <v>1.31666666666667</v>
      </c>
      <c r="C27" s="115">
        <f t="shared" si="4"/>
        <v>0.0928235294117647</v>
      </c>
      <c r="D27" s="115">
        <f t="shared" si="5"/>
        <v>56.6941176470588</v>
      </c>
      <c r="E27" s="115">
        <f t="shared" si="6"/>
        <v>0.0782738095238095</v>
      </c>
      <c r="F27" s="180">
        <f t="shared" si="7"/>
        <v>47.9642857142857</v>
      </c>
      <c r="G27" s="81"/>
      <c r="H27" s="81"/>
      <c r="I27" s="81"/>
      <c r="J27" s="81"/>
    </row>
    <row r="28" spans="1:10">
      <c r="A28" s="167" t="s">
        <v>42</v>
      </c>
      <c r="B28" s="168">
        <v>1.41666666666667</v>
      </c>
      <c r="C28" s="115">
        <f t="shared" si="4"/>
        <v>0.0932967032967033</v>
      </c>
      <c r="D28" s="115">
        <f t="shared" si="5"/>
        <v>56.978021978022</v>
      </c>
      <c r="E28" s="115">
        <f t="shared" si="6"/>
        <v>0.0786111111111111</v>
      </c>
      <c r="F28" s="180">
        <f t="shared" si="7"/>
        <v>48.1666666666667</v>
      </c>
      <c r="G28" s="81"/>
      <c r="H28" s="81"/>
      <c r="I28" s="81"/>
      <c r="J28" s="81"/>
    </row>
    <row r="29" spans="1:10">
      <c r="A29" s="167" t="s">
        <v>43</v>
      </c>
      <c r="B29" s="168">
        <v>1.53333333333333</v>
      </c>
      <c r="C29" s="115">
        <f t="shared" si="4"/>
        <v>0.0937755102040816</v>
      </c>
      <c r="D29" s="115">
        <f t="shared" si="5"/>
        <v>57.265306122449</v>
      </c>
      <c r="E29" s="115">
        <f t="shared" si="6"/>
        <v>0.0789518900343643</v>
      </c>
      <c r="F29" s="180">
        <f t="shared" si="7"/>
        <v>48.3711340206186</v>
      </c>
      <c r="G29" s="81"/>
      <c r="H29" s="81"/>
      <c r="I29" s="81"/>
      <c r="J29" s="81"/>
    </row>
    <row r="30" spans="1:10">
      <c r="A30" s="167" t="s">
        <v>44</v>
      </c>
      <c r="B30" s="168">
        <v>1.65</v>
      </c>
      <c r="C30" s="115">
        <f t="shared" si="4"/>
        <v>0.0941904761904762</v>
      </c>
      <c r="D30" s="115">
        <f t="shared" si="5"/>
        <v>57.5142857142857</v>
      </c>
      <c r="E30" s="115">
        <f t="shared" si="6"/>
        <v>0.0792467948717949</v>
      </c>
      <c r="F30" s="180">
        <f t="shared" si="7"/>
        <v>48.5480769230769</v>
      </c>
      <c r="G30" s="81"/>
      <c r="H30" s="81"/>
      <c r="I30" s="81"/>
      <c r="J30" s="81"/>
    </row>
    <row r="31" ht="14.25" spans="1:10">
      <c r="A31" s="169" t="s">
        <v>45</v>
      </c>
      <c r="B31" s="170">
        <v>1.61666666666667</v>
      </c>
      <c r="C31" s="172">
        <f t="shared" si="4"/>
        <v>0.0940776699029126</v>
      </c>
      <c r="D31" s="172">
        <f t="shared" si="5"/>
        <v>57.4466019417476</v>
      </c>
      <c r="E31" s="172">
        <f t="shared" si="6"/>
        <v>0.0791666666666667</v>
      </c>
      <c r="F31" s="181">
        <f t="shared" si="7"/>
        <v>48.5</v>
      </c>
      <c r="G31" s="81"/>
      <c r="H31" s="81"/>
      <c r="I31" s="81"/>
      <c r="J31" s="81"/>
    </row>
    <row r="38" ht="14.25"/>
    <row r="39" spans="1:17">
      <c r="A39" s="182" t="s">
        <v>51</v>
      </c>
      <c r="B39" s="183"/>
      <c r="C39" s="183"/>
      <c r="D39" s="183"/>
      <c r="E39" s="183"/>
      <c r="F39" s="184"/>
      <c r="G39" s="185"/>
      <c r="H39" s="185"/>
      <c r="I39" s="185"/>
      <c r="J39" s="185"/>
      <c r="K39" s="1"/>
      <c r="L39" s="1"/>
      <c r="M39" s="1"/>
      <c r="N39" s="1"/>
      <c r="O39" s="1"/>
      <c r="P39" s="1"/>
      <c r="Q39" s="1"/>
    </row>
    <row r="40" spans="1:7">
      <c r="A40" s="176" t="s">
        <v>21</v>
      </c>
      <c r="B40" s="186" t="s">
        <v>52</v>
      </c>
      <c r="C40" s="186" t="s">
        <v>53</v>
      </c>
      <c r="D40" s="186" t="s">
        <v>54</v>
      </c>
      <c r="E40" s="186" t="s">
        <v>25</v>
      </c>
      <c r="F40" s="187" t="s">
        <v>26</v>
      </c>
      <c r="G40" s="185"/>
    </row>
    <row r="41" spans="1:6">
      <c r="A41" s="167" t="s">
        <v>27</v>
      </c>
      <c r="B41" s="149">
        <v>40</v>
      </c>
      <c r="C41" s="149">
        <f>60/B41</f>
        <v>1.5</v>
      </c>
      <c r="D41" s="149">
        <f>B41/60</f>
        <v>0.666666666666667</v>
      </c>
      <c r="E41" s="149">
        <f>D41/$D$41</f>
        <v>1</v>
      </c>
      <c r="F41" s="154" t="e">
        <f>D41/D40</f>
        <v>#VALUE!</v>
      </c>
    </row>
    <row r="42" spans="1:6">
      <c r="A42" s="167" t="s">
        <v>30</v>
      </c>
      <c r="B42" s="149">
        <v>42.8</v>
      </c>
      <c r="C42" s="149">
        <f t="shared" ref="C42:C47" si="8">60/B42</f>
        <v>1.4018691588785</v>
      </c>
      <c r="D42" s="149">
        <f t="shared" ref="D42:D52" si="9">B42/60</f>
        <v>0.713333333333333</v>
      </c>
      <c r="E42" s="149">
        <f t="shared" ref="E42:E52" si="10">D42/$D$41</f>
        <v>1.07</v>
      </c>
      <c r="F42" s="154">
        <f t="shared" ref="F42:F52" si="11">D42/D41</f>
        <v>1.07</v>
      </c>
    </row>
    <row r="43" spans="1:6">
      <c r="A43" s="167" t="s">
        <v>32</v>
      </c>
      <c r="B43" s="149">
        <v>45.4</v>
      </c>
      <c r="C43" s="149">
        <f t="shared" si="8"/>
        <v>1.3215859030837</v>
      </c>
      <c r="D43" s="149">
        <f t="shared" si="9"/>
        <v>0.756666666666667</v>
      </c>
      <c r="E43" s="149">
        <f t="shared" si="10"/>
        <v>1.135</v>
      </c>
      <c r="F43" s="154">
        <f t="shared" si="11"/>
        <v>1.0607476635514</v>
      </c>
    </row>
    <row r="44" spans="1:6">
      <c r="A44" s="167" t="s">
        <v>34</v>
      </c>
      <c r="B44" s="149">
        <v>49</v>
      </c>
      <c r="C44" s="149">
        <f t="shared" si="8"/>
        <v>1.22448979591837</v>
      </c>
      <c r="D44" s="149">
        <f t="shared" si="9"/>
        <v>0.816666666666667</v>
      </c>
      <c r="E44" s="149">
        <f t="shared" si="10"/>
        <v>1.225</v>
      </c>
      <c r="F44" s="154">
        <f t="shared" si="11"/>
        <v>1.07929515418502</v>
      </c>
    </row>
    <row r="45" spans="1:6">
      <c r="A45" s="167" t="s">
        <v>36</v>
      </c>
      <c r="B45" s="149">
        <v>52.7</v>
      </c>
      <c r="C45" s="149">
        <f t="shared" si="8"/>
        <v>1.13851992409867</v>
      </c>
      <c r="D45" s="149">
        <f t="shared" si="9"/>
        <v>0.878333333333333</v>
      </c>
      <c r="E45" s="149">
        <f t="shared" si="10"/>
        <v>1.3175</v>
      </c>
      <c r="F45" s="154">
        <f t="shared" si="11"/>
        <v>1.07551020408163</v>
      </c>
    </row>
    <row r="46" spans="1:6">
      <c r="A46" s="167" t="s">
        <v>38</v>
      </c>
      <c r="B46" s="149">
        <v>57</v>
      </c>
      <c r="C46" s="149">
        <f t="shared" si="8"/>
        <v>1.05263157894737</v>
      </c>
      <c r="D46" s="149">
        <f t="shared" si="9"/>
        <v>0.95</v>
      </c>
      <c r="E46" s="149">
        <f t="shared" si="10"/>
        <v>1.425</v>
      </c>
      <c r="F46" s="154">
        <f t="shared" si="11"/>
        <v>1.08159392789374</v>
      </c>
    </row>
    <row r="47" spans="1:6">
      <c r="A47" s="167" t="s">
        <v>40</v>
      </c>
      <c r="B47" s="149">
        <v>62</v>
      </c>
      <c r="C47" s="149">
        <f t="shared" si="8"/>
        <v>0.967741935483871</v>
      </c>
      <c r="D47" s="149">
        <f t="shared" si="9"/>
        <v>1.03333333333333</v>
      </c>
      <c r="E47" s="149">
        <f t="shared" si="10"/>
        <v>1.55</v>
      </c>
      <c r="F47" s="154">
        <f t="shared" si="11"/>
        <v>1.08771929824561</v>
      </c>
    </row>
    <row r="48" spans="1:6">
      <c r="A48" s="167" t="s">
        <v>41</v>
      </c>
      <c r="B48" s="149"/>
      <c r="C48" s="149"/>
      <c r="D48" s="149">
        <f t="shared" si="9"/>
        <v>0</v>
      </c>
      <c r="E48" s="149">
        <f t="shared" si="10"/>
        <v>0</v>
      </c>
      <c r="F48" s="154">
        <f t="shared" si="11"/>
        <v>0</v>
      </c>
    </row>
    <row r="49" spans="1:6">
      <c r="A49" s="167" t="s">
        <v>42</v>
      </c>
      <c r="B49" s="149"/>
      <c r="C49" s="149"/>
      <c r="D49" s="149">
        <f t="shared" si="9"/>
        <v>0</v>
      </c>
      <c r="E49" s="149">
        <f t="shared" si="10"/>
        <v>0</v>
      </c>
      <c r="F49" s="154" t="e">
        <f t="shared" si="11"/>
        <v>#DIV/0!</v>
      </c>
    </row>
    <row r="50" spans="1:6">
      <c r="A50" s="167" t="s">
        <v>43</v>
      </c>
      <c r="B50" s="149"/>
      <c r="C50" s="149"/>
      <c r="D50" s="149">
        <f t="shared" si="9"/>
        <v>0</v>
      </c>
      <c r="E50" s="149">
        <f t="shared" si="10"/>
        <v>0</v>
      </c>
      <c r="F50" s="154" t="e">
        <f t="shared" si="11"/>
        <v>#DIV/0!</v>
      </c>
    </row>
    <row r="51" spans="1:6">
      <c r="A51" s="167" t="s">
        <v>44</v>
      </c>
      <c r="B51" s="149"/>
      <c r="C51" s="149"/>
      <c r="D51" s="149">
        <f t="shared" si="9"/>
        <v>0</v>
      </c>
      <c r="E51" s="149">
        <f t="shared" si="10"/>
        <v>0</v>
      </c>
      <c r="F51" s="154" t="e">
        <f t="shared" si="11"/>
        <v>#DIV/0!</v>
      </c>
    </row>
    <row r="52" ht="14.25" spans="1:6">
      <c r="A52" s="169" t="s">
        <v>45</v>
      </c>
      <c r="B52" s="150"/>
      <c r="C52" s="150"/>
      <c r="D52" s="150">
        <f t="shared" si="9"/>
        <v>0</v>
      </c>
      <c r="E52" s="150">
        <f t="shared" si="10"/>
        <v>0</v>
      </c>
      <c r="F52" s="155" t="e">
        <f t="shared" si="11"/>
        <v>#DIV/0!</v>
      </c>
    </row>
    <row r="53" spans="1:6">
      <c r="A53" s="12"/>
      <c r="B53" s="24"/>
      <c r="C53" s="24"/>
      <c r="D53" s="24"/>
      <c r="E53" s="24"/>
      <c r="F53" s="24"/>
    </row>
    <row r="54" ht="14.25" spans="1:6">
      <c r="A54" s="12"/>
      <c r="B54" s="24"/>
      <c r="C54" s="24"/>
      <c r="D54" s="24"/>
      <c r="E54" s="24"/>
      <c r="F54" s="24"/>
    </row>
    <row r="55" spans="1:10">
      <c r="A55" s="182" t="s">
        <v>55</v>
      </c>
      <c r="B55" s="183"/>
      <c r="C55" s="183"/>
      <c r="D55" s="183"/>
      <c r="E55" s="183"/>
      <c r="F55" s="184"/>
      <c r="G55" s="15"/>
      <c r="H55" s="15"/>
      <c r="I55" s="15"/>
      <c r="J55" s="15"/>
    </row>
    <row r="56" spans="1:10">
      <c r="A56" s="188" t="s">
        <v>21</v>
      </c>
      <c r="B56" s="189" t="s">
        <v>52</v>
      </c>
      <c r="C56" s="189" t="s">
        <v>53</v>
      </c>
      <c r="D56" s="186" t="s">
        <v>54</v>
      </c>
      <c r="E56" s="186" t="s">
        <v>25</v>
      </c>
      <c r="F56" s="187" t="s">
        <v>26</v>
      </c>
      <c r="G56" s="15" t="s">
        <v>56</v>
      </c>
      <c r="H56" s="15" t="s">
        <v>57</v>
      </c>
      <c r="I56" s="15" t="s">
        <v>58</v>
      </c>
      <c r="J56" s="15"/>
    </row>
    <row r="57" spans="1:10">
      <c r="A57" s="167" t="s">
        <v>27</v>
      </c>
      <c r="B57" s="149">
        <v>30.5</v>
      </c>
      <c r="C57" s="149">
        <f>60/B57</f>
        <v>1.9672131147541</v>
      </c>
      <c r="D57" s="149">
        <f t="shared" ref="D57:D68" si="12">B57/60</f>
        <v>0.508333333333333</v>
      </c>
      <c r="E57" s="149">
        <f t="shared" ref="E57:E68" si="13">D57/$D$41</f>
        <v>0.7625</v>
      </c>
      <c r="F57" s="154" t="e">
        <f t="shared" ref="F57:F68" si="14">D57/D56</f>
        <v>#VALUE!</v>
      </c>
      <c r="G57" s="55">
        <v>5</v>
      </c>
      <c r="H57" s="55" t="s">
        <v>41</v>
      </c>
      <c r="I57" s="55" t="s">
        <v>43</v>
      </c>
      <c r="J57" s="15"/>
    </row>
    <row r="58" spans="1:10">
      <c r="A58" s="167" t="s">
        <v>30</v>
      </c>
      <c r="B58" s="149">
        <v>31.6</v>
      </c>
      <c r="C58" s="149">
        <f t="shared" ref="C58:C63" si="15">60/B58</f>
        <v>1.89873417721519</v>
      </c>
      <c r="D58" s="149">
        <f t="shared" si="12"/>
        <v>0.526666666666667</v>
      </c>
      <c r="E58" s="149">
        <f t="shared" si="13"/>
        <v>0.79</v>
      </c>
      <c r="F58" s="154">
        <f t="shared" si="14"/>
        <v>1.03606557377049</v>
      </c>
      <c r="G58" s="55">
        <v>5</v>
      </c>
      <c r="H58" s="55" t="s">
        <v>41</v>
      </c>
      <c r="I58" s="55" t="s">
        <v>43</v>
      </c>
      <c r="J58" s="15"/>
    </row>
    <row r="59" spans="1:9">
      <c r="A59" s="167" t="s">
        <v>32</v>
      </c>
      <c r="B59" s="149">
        <v>33</v>
      </c>
      <c r="C59" s="149">
        <f t="shared" si="15"/>
        <v>1.81818181818182</v>
      </c>
      <c r="D59" s="149">
        <f t="shared" si="12"/>
        <v>0.55</v>
      </c>
      <c r="E59" s="149">
        <f t="shared" si="13"/>
        <v>0.825</v>
      </c>
      <c r="F59" s="154">
        <f t="shared" si="14"/>
        <v>1.04430379746835</v>
      </c>
      <c r="G59" s="55">
        <v>5</v>
      </c>
      <c r="H59" s="55" t="s">
        <v>59</v>
      </c>
      <c r="I59" s="55" t="s">
        <v>60</v>
      </c>
    </row>
    <row r="60" spans="1:9">
      <c r="A60" s="167" t="s">
        <v>34</v>
      </c>
      <c r="B60" s="149">
        <v>35</v>
      </c>
      <c r="C60" s="149">
        <f t="shared" si="15"/>
        <v>1.71428571428571</v>
      </c>
      <c r="D60" s="149">
        <f t="shared" si="12"/>
        <v>0.583333333333333</v>
      </c>
      <c r="E60" s="149">
        <f t="shared" si="13"/>
        <v>0.875</v>
      </c>
      <c r="F60" s="154">
        <f t="shared" si="14"/>
        <v>1.06060606060606</v>
      </c>
      <c r="G60" s="55">
        <v>5</v>
      </c>
      <c r="H60" s="55">
        <v>6</v>
      </c>
      <c r="I60" s="55" t="s">
        <v>42</v>
      </c>
    </row>
    <row r="61" spans="1:9">
      <c r="A61" s="167" t="s">
        <v>36</v>
      </c>
      <c r="B61" s="149">
        <v>36.9</v>
      </c>
      <c r="C61" s="149">
        <f t="shared" si="15"/>
        <v>1.6260162601626</v>
      </c>
      <c r="D61" s="149">
        <f t="shared" si="12"/>
        <v>0.615</v>
      </c>
      <c r="E61" s="149">
        <f t="shared" si="13"/>
        <v>0.9225</v>
      </c>
      <c r="F61" s="154">
        <f t="shared" si="14"/>
        <v>1.05428571428571</v>
      </c>
      <c r="G61" s="55">
        <v>5</v>
      </c>
      <c r="H61" s="55">
        <v>6</v>
      </c>
      <c r="I61" s="55" t="s">
        <v>61</v>
      </c>
    </row>
    <row r="62" spans="1:9">
      <c r="A62" s="167" t="s">
        <v>38</v>
      </c>
      <c r="B62" s="149">
        <v>38.7</v>
      </c>
      <c r="C62" s="149">
        <f t="shared" si="15"/>
        <v>1.55038759689922</v>
      </c>
      <c r="D62" s="149">
        <f t="shared" si="12"/>
        <v>0.645</v>
      </c>
      <c r="E62" s="149">
        <f t="shared" si="13"/>
        <v>0.9675</v>
      </c>
      <c r="F62" s="154">
        <f t="shared" si="14"/>
        <v>1.04878048780488</v>
      </c>
      <c r="G62" s="55">
        <v>5</v>
      </c>
      <c r="H62" s="55">
        <v>6</v>
      </c>
      <c r="I62" s="55" t="s">
        <v>41</v>
      </c>
    </row>
    <row r="63" spans="1:9">
      <c r="A63" s="167" t="s">
        <v>40</v>
      </c>
      <c r="B63" s="149">
        <v>41.15</v>
      </c>
      <c r="C63" s="149">
        <f t="shared" si="15"/>
        <v>1.45808019441069</v>
      </c>
      <c r="D63" s="149">
        <f t="shared" si="12"/>
        <v>0.685833333333333</v>
      </c>
      <c r="E63" s="149">
        <f t="shared" si="13"/>
        <v>1.02875</v>
      </c>
      <c r="F63" s="154">
        <f t="shared" si="14"/>
        <v>1.06330749354005</v>
      </c>
      <c r="G63" s="55">
        <v>4</v>
      </c>
      <c r="H63" s="55">
        <v>6</v>
      </c>
      <c r="I63" s="55" t="s">
        <v>41</v>
      </c>
    </row>
    <row r="64" spans="1:9">
      <c r="A64" s="167" t="s">
        <v>41</v>
      </c>
      <c r="B64" s="149"/>
      <c r="C64" s="149"/>
      <c r="D64" s="149">
        <f t="shared" si="12"/>
        <v>0</v>
      </c>
      <c r="E64" s="149">
        <f t="shared" si="13"/>
        <v>0</v>
      </c>
      <c r="F64" s="154">
        <f t="shared" si="14"/>
        <v>0</v>
      </c>
      <c r="G64" s="55"/>
      <c r="H64" s="55"/>
      <c r="I64" s="55"/>
    </row>
    <row r="65" spans="1:9">
      <c r="A65" s="167" t="s">
        <v>42</v>
      </c>
      <c r="B65" s="149"/>
      <c r="C65" s="149"/>
      <c r="D65" s="149">
        <f t="shared" si="12"/>
        <v>0</v>
      </c>
      <c r="E65" s="149">
        <f t="shared" si="13"/>
        <v>0</v>
      </c>
      <c r="F65" s="154" t="e">
        <f t="shared" si="14"/>
        <v>#DIV/0!</v>
      </c>
      <c r="G65" s="55"/>
      <c r="H65" s="55"/>
      <c r="I65" s="55"/>
    </row>
    <row r="66" spans="1:9">
      <c r="A66" s="167" t="s">
        <v>43</v>
      </c>
      <c r="B66" s="149"/>
      <c r="C66" s="149"/>
      <c r="D66" s="149">
        <f t="shared" si="12"/>
        <v>0</v>
      </c>
      <c r="E66" s="149">
        <f t="shared" si="13"/>
        <v>0</v>
      </c>
      <c r="F66" s="154" t="e">
        <f t="shared" si="14"/>
        <v>#DIV/0!</v>
      </c>
      <c r="G66" s="55"/>
      <c r="H66" s="55"/>
      <c r="I66" s="55"/>
    </row>
    <row r="67" spans="1:9">
      <c r="A67" s="167" t="s">
        <v>44</v>
      </c>
      <c r="B67" s="149"/>
      <c r="C67" s="149"/>
      <c r="D67" s="149">
        <f t="shared" si="12"/>
        <v>0</v>
      </c>
      <c r="E67" s="149">
        <f t="shared" si="13"/>
        <v>0</v>
      </c>
      <c r="F67" s="154" t="e">
        <f t="shared" si="14"/>
        <v>#DIV/0!</v>
      </c>
      <c r="G67" s="55"/>
      <c r="H67" s="55"/>
      <c r="I67" s="55"/>
    </row>
    <row r="68" ht="14.25" spans="1:9">
      <c r="A68" s="169" t="s">
        <v>45</v>
      </c>
      <c r="B68" s="150"/>
      <c r="C68" s="150"/>
      <c r="D68" s="150">
        <f t="shared" si="12"/>
        <v>0</v>
      </c>
      <c r="E68" s="150">
        <f t="shared" si="13"/>
        <v>0</v>
      </c>
      <c r="F68" s="155" t="e">
        <f t="shared" si="14"/>
        <v>#DIV/0!</v>
      </c>
      <c r="G68" s="55"/>
      <c r="H68" s="55"/>
      <c r="I68" s="55"/>
    </row>
    <row r="69" spans="1:6">
      <c r="A69" s="12"/>
      <c r="B69" s="24"/>
      <c r="C69" s="24"/>
      <c r="D69" s="24"/>
      <c r="E69" s="24"/>
      <c r="F69" s="24"/>
    </row>
    <row r="70" ht="14.25" spans="1:6">
      <c r="A70" s="12"/>
      <c r="B70" s="24"/>
      <c r="C70" s="24"/>
      <c r="D70" s="24"/>
      <c r="E70" s="24"/>
      <c r="F70" s="24"/>
    </row>
    <row r="71" spans="1:7">
      <c r="A71" s="182" t="s">
        <v>62</v>
      </c>
      <c r="B71" s="183"/>
      <c r="C71" s="183"/>
      <c r="D71" s="183"/>
      <c r="E71" s="183"/>
      <c r="F71" s="183"/>
      <c r="G71" s="184"/>
    </row>
    <row r="72" spans="1:8">
      <c r="A72" s="176" t="s">
        <v>21</v>
      </c>
      <c r="B72" s="186" t="s">
        <v>63</v>
      </c>
      <c r="C72" s="186" t="s">
        <v>64</v>
      </c>
      <c r="D72" s="186" t="s">
        <v>53</v>
      </c>
      <c r="E72" s="186" t="s">
        <v>54</v>
      </c>
      <c r="F72" s="186" t="s">
        <v>25</v>
      </c>
      <c r="G72" s="187" t="s">
        <v>26</v>
      </c>
      <c r="H72" s="105" t="s">
        <v>65</v>
      </c>
    </row>
    <row r="73" spans="1:8">
      <c r="A73" s="167" t="s">
        <v>27</v>
      </c>
      <c r="B73" s="149">
        <v>164.0838650866</v>
      </c>
      <c r="C73" s="149">
        <f>30/B73*60</f>
        <v>10.97</v>
      </c>
      <c r="D73" s="149">
        <f t="shared" ref="D73:D79" si="16">(B73-116)/30</f>
        <v>1.60279550288667</v>
      </c>
      <c r="E73" s="149">
        <f t="shared" ref="E73:E84" si="17">C73/60</f>
        <v>0.182833333333333</v>
      </c>
      <c r="F73" s="149">
        <f t="shared" ref="F73:F84" si="18">E73/$D$41</f>
        <v>0.27425</v>
      </c>
      <c r="G73" s="154" t="e">
        <f t="shared" ref="G73:G84" si="19">E73/E72</f>
        <v>#VALUE!</v>
      </c>
      <c r="H73" s="105"/>
    </row>
    <row r="74" spans="1:8">
      <c r="A74" s="167" t="s">
        <v>30</v>
      </c>
      <c r="B74" s="149">
        <v>158.033362598771</v>
      </c>
      <c r="C74" s="149">
        <f t="shared" ref="C74:C79" si="20">30/B74*60</f>
        <v>11.39</v>
      </c>
      <c r="D74" s="149">
        <f t="shared" si="16"/>
        <v>1.4011120866257</v>
      </c>
      <c r="E74" s="149">
        <f t="shared" si="17"/>
        <v>0.189833333333333</v>
      </c>
      <c r="F74" s="149">
        <f t="shared" si="18"/>
        <v>0.28475</v>
      </c>
      <c r="G74" s="154">
        <f t="shared" si="19"/>
        <v>1.03828623518687</v>
      </c>
      <c r="H74" s="105"/>
    </row>
    <row r="75" spans="1:8">
      <c r="A75" s="167" t="s">
        <v>32</v>
      </c>
      <c r="B75" s="149">
        <v>155.574762316335</v>
      </c>
      <c r="C75" s="149">
        <f t="shared" si="20"/>
        <v>11.57</v>
      </c>
      <c r="D75" s="149">
        <f t="shared" si="16"/>
        <v>1.31915874387783</v>
      </c>
      <c r="E75" s="149">
        <f t="shared" si="17"/>
        <v>0.192833333333334</v>
      </c>
      <c r="F75" s="149">
        <f t="shared" si="18"/>
        <v>0.289250000000001</v>
      </c>
      <c r="G75" s="154">
        <f t="shared" si="19"/>
        <v>1.01580333625988</v>
      </c>
      <c r="H75" s="105"/>
    </row>
    <row r="76" spans="1:8">
      <c r="A76" s="167" t="s">
        <v>34</v>
      </c>
      <c r="B76" s="149">
        <v>152.284263959391</v>
      </c>
      <c r="C76" s="149">
        <f t="shared" si="20"/>
        <v>11.82</v>
      </c>
      <c r="D76" s="149">
        <f t="shared" si="16"/>
        <v>1.20947546531303</v>
      </c>
      <c r="E76" s="149">
        <f t="shared" si="17"/>
        <v>0.197</v>
      </c>
      <c r="F76" s="149">
        <f t="shared" si="18"/>
        <v>0.2955</v>
      </c>
      <c r="G76" s="154">
        <f t="shared" si="19"/>
        <v>1.02160760587727</v>
      </c>
      <c r="H76" s="105"/>
    </row>
    <row r="77" spans="1:8">
      <c r="A77" s="167" t="s">
        <v>36</v>
      </c>
      <c r="B77" s="149">
        <v>150.125</v>
      </c>
      <c r="C77" s="149">
        <f t="shared" si="20"/>
        <v>11.9900083263947</v>
      </c>
      <c r="D77" s="149">
        <f t="shared" si="16"/>
        <v>1.1375</v>
      </c>
      <c r="E77" s="149">
        <f t="shared" si="17"/>
        <v>0.199833472106578</v>
      </c>
      <c r="F77" s="149">
        <f t="shared" si="18"/>
        <v>0.299750208159867</v>
      </c>
      <c r="G77" s="154">
        <f t="shared" si="19"/>
        <v>1.01438310713999</v>
      </c>
      <c r="H77" s="105"/>
    </row>
    <row r="78" spans="1:8">
      <c r="A78" s="167" t="s">
        <v>38</v>
      </c>
      <c r="B78" s="149">
        <v>147.5</v>
      </c>
      <c r="C78" s="149">
        <f t="shared" si="20"/>
        <v>12.2033898305085</v>
      </c>
      <c r="D78" s="149">
        <f t="shared" si="16"/>
        <v>1.05</v>
      </c>
      <c r="E78" s="149">
        <f t="shared" si="17"/>
        <v>0.203389830508475</v>
      </c>
      <c r="F78" s="149">
        <f t="shared" si="18"/>
        <v>0.305084745762712</v>
      </c>
      <c r="G78" s="154">
        <f t="shared" si="19"/>
        <v>1.01779661016949</v>
      </c>
      <c r="H78" s="105"/>
    </row>
    <row r="79" spans="1:8">
      <c r="A79" s="167" t="s">
        <v>40</v>
      </c>
      <c r="B79" s="149">
        <v>145.161290322581</v>
      </c>
      <c r="C79" s="149">
        <f t="shared" si="20"/>
        <v>12.4</v>
      </c>
      <c r="D79" s="149">
        <f t="shared" si="16"/>
        <v>0.9720430107527</v>
      </c>
      <c r="E79" s="149">
        <f t="shared" si="17"/>
        <v>0.206666666666666</v>
      </c>
      <c r="F79" s="149">
        <f t="shared" si="18"/>
        <v>0.309999999999999</v>
      </c>
      <c r="G79" s="154">
        <f t="shared" si="19"/>
        <v>1.01611111111111</v>
      </c>
      <c r="H79" s="105"/>
    </row>
    <row r="80" spans="1:8">
      <c r="A80" s="167" t="s">
        <v>41</v>
      </c>
      <c r="B80" s="149"/>
      <c r="C80" s="149"/>
      <c r="D80" s="149"/>
      <c r="E80" s="149">
        <f t="shared" si="17"/>
        <v>0</v>
      </c>
      <c r="F80" s="149">
        <f t="shared" si="18"/>
        <v>0</v>
      </c>
      <c r="G80" s="154">
        <f t="shared" si="19"/>
        <v>0</v>
      </c>
      <c r="H80" s="105"/>
    </row>
    <row r="81" spans="1:8">
      <c r="A81" s="167" t="s">
        <v>42</v>
      </c>
      <c r="B81" s="149"/>
      <c r="C81" s="149"/>
      <c r="D81" s="149"/>
      <c r="E81" s="149">
        <f t="shared" si="17"/>
        <v>0</v>
      </c>
      <c r="F81" s="149">
        <f t="shared" si="18"/>
        <v>0</v>
      </c>
      <c r="G81" s="154" t="e">
        <f t="shared" si="19"/>
        <v>#DIV/0!</v>
      </c>
      <c r="H81" s="105"/>
    </row>
    <row r="82" spans="1:8">
      <c r="A82" s="167" t="s">
        <v>43</v>
      </c>
      <c r="B82" s="149"/>
      <c r="C82" s="149"/>
      <c r="D82" s="149"/>
      <c r="E82" s="149">
        <f t="shared" si="17"/>
        <v>0</v>
      </c>
      <c r="F82" s="149">
        <f t="shared" si="18"/>
        <v>0</v>
      </c>
      <c r="G82" s="154" t="e">
        <f t="shared" si="19"/>
        <v>#DIV/0!</v>
      </c>
      <c r="H82" s="105"/>
    </row>
    <row r="83" spans="1:8">
      <c r="A83" s="167" t="s">
        <v>44</v>
      </c>
      <c r="B83" s="149"/>
      <c r="C83" s="149"/>
      <c r="D83" s="149"/>
      <c r="E83" s="149">
        <f t="shared" si="17"/>
        <v>0</v>
      </c>
      <c r="F83" s="149">
        <f t="shared" si="18"/>
        <v>0</v>
      </c>
      <c r="G83" s="154" t="e">
        <f t="shared" si="19"/>
        <v>#DIV/0!</v>
      </c>
      <c r="H83" s="105"/>
    </row>
    <row r="84" ht="14.25" spans="1:8">
      <c r="A84" s="169" t="s">
        <v>45</v>
      </c>
      <c r="B84" s="150"/>
      <c r="C84" s="150"/>
      <c r="D84" s="150"/>
      <c r="E84" s="150">
        <f t="shared" si="17"/>
        <v>0</v>
      </c>
      <c r="F84" s="150">
        <f t="shared" si="18"/>
        <v>0</v>
      </c>
      <c r="G84" s="155" t="e">
        <f t="shared" si="19"/>
        <v>#DIV/0!</v>
      </c>
      <c r="H84" s="105"/>
    </row>
    <row r="85" spans="1:4">
      <c r="A85" s="12"/>
      <c r="B85" s="24"/>
      <c r="C85" s="24"/>
      <c r="D85" s="24"/>
    </row>
    <row r="86" ht="14.25" spans="1:4">
      <c r="A86" s="12"/>
      <c r="B86" s="24"/>
      <c r="C86" s="24"/>
      <c r="D86" s="24"/>
    </row>
    <row r="87" spans="1:6">
      <c r="A87" s="182" t="s">
        <v>66</v>
      </c>
      <c r="B87" s="183"/>
      <c r="C87" s="183"/>
      <c r="D87" s="183"/>
      <c r="E87" s="183"/>
      <c r="F87" s="184"/>
    </row>
    <row r="88" spans="1:7">
      <c r="A88" s="176" t="s">
        <v>21</v>
      </c>
      <c r="B88" s="186" t="s">
        <v>67</v>
      </c>
      <c r="C88" s="186" t="s">
        <v>53</v>
      </c>
      <c r="D88" s="186" t="s">
        <v>54</v>
      </c>
      <c r="E88" s="186" t="s">
        <v>25</v>
      </c>
      <c r="F88" s="187" t="s">
        <v>26</v>
      </c>
      <c r="G88" s="105" t="s">
        <v>68</v>
      </c>
    </row>
    <row r="89" spans="1:7">
      <c r="A89" s="167" t="s">
        <v>27</v>
      </c>
      <c r="B89" s="149"/>
      <c r="C89" s="115"/>
      <c r="D89" s="149">
        <f t="shared" ref="D89:D100" si="21">B89/60</f>
        <v>0</v>
      </c>
      <c r="E89" s="149">
        <f t="shared" ref="E89:E100" si="22">D89/$D$41</f>
        <v>0</v>
      </c>
      <c r="F89" s="154" t="e">
        <f t="shared" ref="F89:F100" si="23">D89/D88</f>
        <v>#VALUE!</v>
      </c>
      <c r="G89" s="105"/>
    </row>
    <row r="90" spans="1:7">
      <c r="A90" s="167" t="s">
        <v>30</v>
      </c>
      <c r="B90" s="149"/>
      <c r="C90" s="115"/>
      <c r="D90" s="149">
        <f t="shared" si="21"/>
        <v>0</v>
      </c>
      <c r="E90" s="149">
        <f t="shared" si="22"/>
        <v>0</v>
      </c>
      <c r="F90" s="154" t="e">
        <f t="shared" si="23"/>
        <v>#DIV/0!</v>
      </c>
      <c r="G90" s="105"/>
    </row>
    <row r="91" spans="1:7">
      <c r="A91" s="167" t="s">
        <v>32</v>
      </c>
      <c r="B91" s="149">
        <v>18.7</v>
      </c>
      <c r="C91" s="115"/>
      <c r="D91" s="149">
        <f t="shared" si="21"/>
        <v>0.311666666666667</v>
      </c>
      <c r="E91" s="149">
        <f t="shared" si="22"/>
        <v>0.4675</v>
      </c>
      <c r="F91" s="154" t="e">
        <f t="shared" si="23"/>
        <v>#DIV/0!</v>
      </c>
      <c r="G91" s="105"/>
    </row>
    <row r="92" spans="1:7">
      <c r="A92" s="167" t="s">
        <v>34</v>
      </c>
      <c r="B92" s="149"/>
      <c r="C92" s="115"/>
      <c r="D92" s="149">
        <f t="shared" si="21"/>
        <v>0</v>
      </c>
      <c r="E92" s="149">
        <f t="shared" si="22"/>
        <v>0</v>
      </c>
      <c r="F92" s="154">
        <f t="shared" si="23"/>
        <v>0</v>
      </c>
      <c r="G92" s="105"/>
    </row>
    <row r="93" spans="1:7">
      <c r="A93" s="167" t="s">
        <v>36</v>
      </c>
      <c r="B93" s="149"/>
      <c r="C93" s="115"/>
      <c r="D93" s="149">
        <f t="shared" si="21"/>
        <v>0</v>
      </c>
      <c r="E93" s="149">
        <f t="shared" si="22"/>
        <v>0</v>
      </c>
      <c r="F93" s="154" t="e">
        <f t="shared" si="23"/>
        <v>#DIV/0!</v>
      </c>
      <c r="G93" s="105"/>
    </row>
    <row r="94" spans="1:7">
      <c r="A94" s="167" t="s">
        <v>38</v>
      </c>
      <c r="B94" s="149"/>
      <c r="C94" s="115"/>
      <c r="D94" s="149">
        <f t="shared" si="21"/>
        <v>0</v>
      </c>
      <c r="E94" s="149">
        <f t="shared" si="22"/>
        <v>0</v>
      </c>
      <c r="F94" s="154" t="e">
        <f t="shared" si="23"/>
        <v>#DIV/0!</v>
      </c>
      <c r="G94" s="105"/>
    </row>
    <row r="95" spans="1:7">
      <c r="A95" s="167" t="s">
        <v>40</v>
      </c>
      <c r="B95" s="149"/>
      <c r="C95" s="115"/>
      <c r="D95" s="149">
        <f t="shared" si="21"/>
        <v>0</v>
      </c>
      <c r="E95" s="149">
        <f t="shared" si="22"/>
        <v>0</v>
      </c>
      <c r="F95" s="154" t="e">
        <f t="shared" si="23"/>
        <v>#DIV/0!</v>
      </c>
      <c r="G95" s="105"/>
    </row>
    <row r="96" spans="1:7">
      <c r="A96" s="167" t="s">
        <v>41</v>
      </c>
      <c r="B96" s="149"/>
      <c r="C96" s="115"/>
      <c r="D96" s="149">
        <f t="shared" si="21"/>
        <v>0</v>
      </c>
      <c r="E96" s="149">
        <f t="shared" si="22"/>
        <v>0</v>
      </c>
      <c r="F96" s="154" t="e">
        <f t="shared" si="23"/>
        <v>#DIV/0!</v>
      </c>
      <c r="G96" s="105"/>
    </row>
    <row r="97" spans="1:7">
      <c r="A97" s="167" t="s">
        <v>42</v>
      </c>
      <c r="B97" s="149"/>
      <c r="C97" s="115"/>
      <c r="D97" s="149">
        <f t="shared" si="21"/>
        <v>0</v>
      </c>
      <c r="E97" s="149">
        <f t="shared" si="22"/>
        <v>0</v>
      </c>
      <c r="F97" s="154" t="e">
        <f t="shared" si="23"/>
        <v>#DIV/0!</v>
      </c>
      <c r="G97" s="105"/>
    </row>
    <row r="98" spans="1:7">
      <c r="A98" s="167" t="s">
        <v>43</v>
      </c>
      <c r="B98" s="149"/>
      <c r="C98" s="115"/>
      <c r="D98" s="149">
        <f t="shared" si="21"/>
        <v>0</v>
      </c>
      <c r="E98" s="149">
        <f t="shared" si="22"/>
        <v>0</v>
      </c>
      <c r="F98" s="154" t="e">
        <f t="shared" si="23"/>
        <v>#DIV/0!</v>
      </c>
      <c r="G98" s="105"/>
    </row>
    <row r="99" spans="1:7">
      <c r="A99" s="167" t="s">
        <v>44</v>
      </c>
      <c r="B99" s="149"/>
      <c r="C99" s="115"/>
      <c r="D99" s="149">
        <f t="shared" si="21"/>
        <v>0</v>
      </c>
      <c r="E99" s="149">
        <f t="shared" si="22"/>
        <v>0</v>
      </c>
      <c r="F99" s="154" t="e">
        <f t="shared" si="23"/>
        <v>#DIV/0!</v>
      </c>
      <c r="G99" s="105"/>
    </row>
    <row r="100" ht="14.25" spans="1:7">
      <c r="A100" s="169" t="s">
        <v>45</v>
      </c>
      <c r="B100" s="150"/>
      <c r="C100" s="172"/>
      <c r="D100" s="150">
        <f t="shared" si="21"/>
        <v>0</v>
      </c>
      <c r="E100" s="150">
        <f t="shared" si="22"/>
        <v>0</v>
      </c>
      <c r="F100" s="155" t="e">
        <f t="shared" si="23"/>
        <v>#DIV/0!</v>
      </c>
      <c r="G100" s="105"/>
    </row>
    <row r="101" spans="1:7">
      <c r="A101" s="12"/>
      <c r="B101" s="24"/>
      <c r="D101" s="24"/>
      <c r="E101" s="24"/>
      <c r="F101" s="24"/>
      <c r="G101" s="105"/>
    </row>
    <row r="102" spans="1:7">
      <c r="A102" s="12"/>
      <c r="B102" s="24"/>
      <c r="D102" s="24"/>
      <c r="E102" s="24"/>
      <c r="F102" s="24"/>
      <c r="G102" s="105"/>
    </row>
    <row r="103" ht="14.25"/>
    <row r="104" spans="1:7">
      <c r="A104" s="182" t="s">
        <v>69</v>
      </c>
      <c r="B104" s="183"/>
      <c r="C104" s="183"/>
      <c r="D104" s="183"/>
      <c r="E104" s="183"/>
      <c r="F104" s="183"/>
      <c r="G104" s="184"/>
    </row>
    <row r="105" spans="1:9">
      <c r="A105" s="176" t="s">
        <v>21</v>
      </c>
      <c r="B105" s="186" t="s">
        <v>70</v>
      </c>
      <c r="C105" s="186" t="s">
        <v>54</v>
      </c>
      <c r="D105" s="186" t="s">
        <v>25</v>
      </c>
      <c r="E105" s="186" t="s">
        <v>26</v>
      </c>
      <c r="F105" s="186" t="s">
        <v>71</v>
      </c>
      <c r="G105" s="187" t="s">
        <v>72</v>
      </c>
      <c r="H105" s="81" t="s">
        <v>73</v>
      </c>
      <c r="I105" s="81"/>
    </row>
    <row r="106" spans="1:9">
      <c r="A106" s="167" t="s">
        <v>27</v>
      </c>
      <c r="B106" s="149">
        <v>9.899</v>
      </c>
      <c r="C106" s="149">
        <f t="shared" ref="C106:C117" si="24">B106/60</f>
        <v>0.164983333333333</v>
      </c>
      <c r="D106" s="149">
        <f t="shared" ref="D106:D117" si="25">C106/$C$106</f>
        <v>1</v>
      </c>
      <c r="E106" s="149">
        <v>1</v>
      </c>
      <c r="F106" s="149">
        <v>10</v>
      </c>
      <c r="G106" s="154">
        <f>60/B106</f>
        <v>6.06121830487928</v>
      </c>
      <c r="H106" s="81"/>
      <c r="I106" s="81"/>
    </row>
    <row r="107" spans="1:9">
      <c r="A107" s="167" t="s">
        <v>30</v>
      </c>
      <c r="B107" s="149">
        <v>10.55</v>
      </c>
      <c r="C107" s="149">
        <f t="shared" si="24"/>
        <v>0.175833333333333</v>
      </c>
      <c r="D107" s="149">
        <f t="shared" si="25"/>
        <v>1.06576421860794</v>
      </c>
      <c r="E107" s="149">
        <f t="shared" ref="E107:E117" si="26">D107/D106</f>
        <v>1.06576421860794</v>
      </c>
      <c r="F107" s="149">
        <v>10</v>
      </c>
      <c r="G107" s="154">
        <f t="shared" ref="G107:G117" si="27">60/B107</f>
        <v>5.68720379146919</v>
      </c>
      <c r="H107" s="81"/>
      <c r="I107" s="81"/>
    </row>
    <row r="108" spans="1:9">
      <c r="A108" s="167" t="s">
        <v>32</v>
      </c>
      <c r="B108" s="149">
        <v>11.26</v>
      </c>
      <c r="C108" s="149">
        <f t="shared" si="24"/>
        <v>0.187666666666667</v>
      </c>
      <c r="D108" s="149">
        <f t="shared" si="25"/>
        <v>1.13748863521568</v>
      </c>
      <c r="E108" s="149">
        <f t="shared" si="26"/>
        <v>1.06729857819905</v>
      </c>
      <c r="F108" s="149">
        <v>10</v>
      </c>
      <c r="G108" s="154">
        <f t="shared" si="27"/>
        <v>5.32859680284192</v>
      </c>
      <c r="H108" s="81"/>
      <c r="I108" s="81"/>
    </row>
    <row r="109" spans="1:9">
      <c r="A109" s="167" t="s">
        <v>34</v>
      </c>
      <c r="B109" s="149">
        <v>11.53</v>
      </c>
      <c r="C109" s="149">
        <f t="shared" si="24"/>
        <v>0.192166666666667</v>
      </c>
      <c r="D109" s="149">
        <f t="shared" si="25"/>
        <v>1.16476411758764</v>
      </c>
      <c r="E109" s="149">
        <f t="shared" si="26"/>
        <v>1.02397868561279</v>
      </c>
      <c r="F109" s="149">
        <v>10</v>
      </c>
      <c r="G109" s="154">
        <f t="shared" si="27"/>
        <v>5.20381613183001</v>
      </c>
      <c r="H109" s="81"/>
      <c r="I109" s="81"/>
    </row>
    <row r="110" spans="1:9">
      <c r="A110" s="167" t="s">
        <v>36</v>
      </c>
      <c r="B110" s="149">
        <v>11.76</v>
      </c>
      <c r="C110" s="149">
        <f t="shared" si="24"/>
        <v>0.196</v>
      </c>
      <c r="D110" s="149">
        <f t="shared" si="25"/>
        <v>1.18799878775634</v>
      </c>
      <c r="E110" s="149">
        <f t="shared" si="26"/>
        <v>1.01994796183868</v>
      </c>
      <c r="F110" s="190" t="s">
        <v>74</v>
      </c>
      <c r="G110" s="154">
        <f t="shared" si="27"/>
        <v>5.10204081632653</v>
      </c>
      <c r="H110" s="81"/>
      <c r="I110" s="81"/>
    </row>
    <row r="111" spans="1:9">
      <c r="A111" s="167" t="s">
        <v>38</v>
      </c>
      <c r="B111" s="149">
        <v>11.92</v>
      </c>
      <c r="C111" s="149">
        <f t="shared" si="24"/>
        <v>0.198666666666667</v>
      </c>
      <c r="D111" s="149">
        <f t="shared" si="25"/>
        <v>1.20416203656935</v>
      </c>
      <c r="E111" s="149">
        <f t="shared" si="26"/>
        <v>1.01360544217687</v>
      </c>
      <c r="F111" s="149">
        <v>9</v>
      </c>
      <c r="G111" s="154">
        <f t="shared" si="27"/>
        <v>5.03355704697987</v>
      </c>
      <c r="H111" s="81"/>
      <c r="I111" s="81"/>
    </row>
    <row r="112" spans="1:9">
      <c r="A112" s="167" t="s">
        <v>40</v>
      </c>
      <c r="B112" s="149">
        <v>12.16</v>
      </c>
      <c r="C112" s="149">
        <f t="shared" si="24"/>
        <v>0.202666666666667</v>
      </c>
      <c r="D112" s="149">
        <f t="shared" si="25"/>
        <v>1.22840690978887</v>
      </c>
      <c r="E112" s="149">
        <f t="shared" si="26"/>
        <v>1.02013422818792</v>
      </c>
      <c r="F112" s="149">
        <v>9</v>
      </c>
      <c r="G112" s="154">
        <f t="shared" si="27"/>
        <v>4.93421052631579</v>
      </c>
      <c r="H112" s="81"/>
      <c r="I112" s="81"/>
    </row>
    <row r="113" spans="1:9">
      <c r="A113" s="167" t="s">
        <v>41</v>
      </c>
      <c r="B113" s="149"/>
      <c r="C113" s="149">
        <f t="shared" si="24"/>
        <v>0</v>
      </c>
      <c r="D113" s="149">
        <f t="shared" si="25"/>
        <v>0</v>
      </c>
      <c r="E113" s="149">
        <f t="shared" si="26"/>
        <v>0</v>
      </c>
      <c r="F113" s="149"/>
      <c r="G113" s="154" t="e">
        <f t="shared" si="27"/>
        <v>#DIV/0!</v>
      </c>
      <c r="H113" s="81"/>
      <c r="I113" s="81"/>
    </row>
    <row r="114" spans="1:9">
      <c r="A114" s="167" t="s">
        <v>42</v>
      </c>
      <c r="B114" s="149"/>
      <c r="C114" s="149">
        <f t="shared" si="24"/>
        <v>0</v>
      </c>
      <c r="D114" s="149">
        <f t="shared" si="25"/>
        <v>0</v>
      </c>
      <c r="E114" s="149" t="e">
        <f t="shared" si="26"/>
        <v>#DIV/0!</v>
      </c>
      <c r="F114" s="149"/>
      <c r="G114" s="154" t="e">
        <f t="shared" si="27"/>
        <v>#DIV/0!</v>
      </c>
      <c r="H114" s="81"/>
      <c r="I114" s="81"/>
    </row>
    <row r="115" spans="1:9">
      <c r="A115" s="167" t="s">
        <v>43</v>
      </c>
      <c r="B115" s="149"/>
      <c r="C115" s="149">
        <f t="shared" si="24"/>
        <v>0</v>
      </c>
      <c r="D115" s="149">
        <f t="shared" si="25"/>
        <v>0</v>
      </c>
      <c r="E115" s="149" t="e">
        <f t="shared" si="26"/>
        <v>#DIV/0!</v>
      </c>
      <c r="F115" s="149"/>
      <c r="G115" s="154" t="e">
        <f t="shared" si="27"/>
        <v>#DIV/0!</v>
      </c>
      <c r="H115" s="81"/>
      <c r="I115" s="81"/>
    </row>
    <row r="116" spans="1:9">
      <c r="A116" s="167" t="s">
        <v>44</v>
      </c>
      <c r="B116" s="149"/>
      <c r="C116" s="149">
        <f t="shared" si="24"/>
        <v>0</v>
      </c>
      <c r="D116" s="149">
        <f t="shared" si="25"/>
        <v>0</v>
      </c>
      <c r="E116" s="149" t="e">
        <f t="shared" si="26"/>
        <v>#DIV/0!</v>
      </c>
      <c r="F116" s="149"/>
      <c r="G116" s="154" t="e">
        <f t="shared" si="27"/>
        <v>#DIV/0!</v>
      </c>
      <c r="H116" s="81"/>
      <c r="I116" s="81"/>
    </row>
    <row r="117" ht="14.25" spans="1:9">
      <c r="A117" s="169" t="s">
        <v>45</v>
      </c>
      <c r="B117" s="150"/>
      <c r="C117" s="150">
        <f t="shared" si="24"/>
        <v>0</v>
      </c>
      <c r="D117" s="150">
        <f t="shared" si="25"/>
        <v>0</v>
      </c>
      <c r="E117" s="150" t="e">
        <f t="shared" si="26"/>
        <v>#DIV/0!</v>
      </c>
      <c r="F117" s="150"/>
      <c r="G117" s="154" t="e">
        <f t="shared" si="27"/>
        <v>#DIV/0!</v>
      </c>
      <c r="H117" s="81"/>
      <c r="I117" s="81"/>
    </row>
    <row r="120" ht="14.25"/>
    <row r="121" spans="1:12">
      <c r="A121" s="182" t="s">
        <v>75</v>
      </c>
      <c r="B121" s="183"/>
      <c r="C121" s="183"/>
      <c r="D121" s="183"/>
      <c r="E121" s="183"/>
      <c r="F121" s="183"/>
      <c r="G121" s="183"/>
      <c r="H121" s="183"/>
      <c r="I121" s="183"/>
      <c r="J121" s="183"/>
      <c r="K121" s="183"/>
      <c r="L121" s="184"/>
    </row>
    <row r="122" spans="1:12">
      <c r="A122" s="176" t="s">
        <v>21</v>
      </c>
      <c r="B122" s="186" t="s">
        <v>76</v>
      </c>
      <c r="C122" s="178" t="s">
        <v>77</v>
      </c>
      <c r="D122" s="178" t="s">
        <v>78</v>
      </c>
      <c r="E122" s="178" t="s">
        <v>79</v>
      </c>
      <c r="F122" s="178" t="s">
        <v>80</v>
      </c>
      <c r="G122" s="178" t="s">
        <v>81</v>
      </c>
      <c r="H122" s="186" t="s">
        <v>82</v>
      </c>
      <c r="I122" s="186" t="s">
        <v>83</v>
      </c>
      <c r="J122" s="186" t="s">
        <v>84</v>
      </c>
      <c r="K122" s="186" t="s">
        <v>85</v>
      </c>
      <c r="L122" s="179" t="s">
        <v>86</v>
      </c>
    </row>
    <row r="123" spans="1:12">
      <c r="A123" s="167" t="s">
        <v>27</v>
      </c>
      <c r="B123" s="149">
        <v>0.5</v>
      </c>
      <c r="C123" s="115">
        <v>113.25</v>
      </c>
      <c r="D123" s="115">
        <f>C123-B123</f>
        <v>112.75</v>
      </c>
      <c r="E123" s="115">
        <v>1.75</v>
      </c>
      <c r="F123" s="115">
        <v>116.25</v>
      </c>
      <c r="G123" s="115">
        <f>F123-E123</f>
        <v>114.5</v>
      </c>
      <c r="H123" s="149">
        <v>57</v>
      </c>
      <c r="I123" s="149">
        <v>112</v>
      </c>
      <c r="J123" s="149">
        <f>D123/H123</f>
        <v>1.9780701754386</v>
      </c>
      <c r="K123" s="149">
        <f>I123/G123</f>
        <v>0.978165938864629</v>
      </c>
      <c r="L123" s="180">
        <f>I123/H123</f>
        <v>1.96491228070175</v>
      </c>
    </row>
    <row r="124" spans="1:12">
      <c r="A124" s="167" t="s">
        <v>30</v>
      </c>
      <c r="B124" s="149">
        <v>1.05</v>
      </c>
      <c r="C124" s="115">
        <v>107.75</v>
      </c>
      <c r="D124" s="115">
        <f>C124-B124</f>
        <v>106.7</v>
      </c>
      <c r="E124" s="115">
        <v>2.25</v>
      </c>
      <c r="F124" s="115">
        <v>110.65</v>
      </c>
      <c r="G124" s="115">
        <f>F124-E124</f>
        <v>108.4</v>
      </c>
      <c r="H124" s="149">
        <v>56</v>
      </c>
      <c r="I124" s="149">
        <v>106</v>
      </c>
      <c r="J124" s="149">
        <f>D124/H124</f>
        <v>1.90535714285714</v>
      </c>
      <c r="K124" s="149">
        <f>I124/G124</f>
        <v>0.977859778597786</v>
      </c>
      <c r="L124" s="180">
        <f>I124/H124</f>
        <v>1.89285714285714</v>
      </c>
    </row>
    <row r="125" spans="1:12">
      <c r="A125" s="167" t="s">
        <v>32</v>
      </c>
      <c r="B125" s="149">
        <v>1</v>
      </c>
      <c r="C125" s="115">
        <v>105.75</v>
      </c>
      <c r="D125" s="115">
        <f>C125-B125</f>
        <v>104.75</v>
      </c>
      <c r="E125" s="115">
        <v>2.75</v>
      </c>
      <c r="F125" s="115">
        <v>108.9</v>
      </c>
      <c r="G125" s="115">
        <f>F125-E125</f>
        <v>106.15</v>
      </c>
      <c r="H125" s="149">
        <v>58</v>
      </c>
      <c r="I125" s="149">
        <v>104</v>
      </c>
      <c r="J125" s="149">
        <f>D125/H125</f>
        <v>1.80603448275862</v>
      </c>
      <c r="K125" s="149">
        <f>I125/G125</f>
        <v>0.979745642958078</v>
      </c>
      <c r="L125" s="180">
        <f>I125/H125</f>
        <v>1.79310344827586</v>
      </c>
    </row>
    <row r="126" spans="1:12">
      <c r="A126" s="167" t="s">
        <v>34</v>
      </c>
      <c r="B126" s="149">
        <v>1.8</v>
      </c>
      <c r="C126" s="115">
        <v>105.6</v>
      </c>
      <c r="D126" s="115">
        <f>C126-B126</f>
        <v>103.8</v>
      </c>
      <c r="E126" s="115">
        <v>2.7</v>
      </c>
      <c r="F126" s="115">
        <v>107.9</v>
      </c>
      <c r="G126" s="115">
        <f>F126-E126</f>
        <v>105.2</v>
      </c>
      <c r="H126" s="149">
        <v>60</v>
      </c>
      <c r="I126" s="149">
        <v>103</v>
      </c>
      <c r="J126" s="149">
        <f>D126/H126</f>
        <v>1.73</v>
      </c>
      <c r="K126" s="149">
        <f>I126/G126</f>
        <v>0.979087452471483</v>
      </c>
      <c r="L126" s="180">
        <f>I126/H126</f>
        <v>1.71666666666667</v>
      </c>
    </row>
    <row r="127" spans="1:12">
      <c r="A127" s="167" t="s">
        <v>36</v>
      </c>
      <c r="B127" s="149"/>
      <c r="C127" s="115"/>
      <c r="D127" s="115"/>
      <c r="E127" s="115"/>
      <c r="F127" s="115"/>
      <c r="G127" s="115"/>
      <c r="H127" s="149"/>
      <c r="I127" s="149"/>
      <c r="J127" s="149"/>
      <c r="K127" s="149"/>
      <c r="L127" s="180"/>
    </row>
    <row r="128" spans="1:12">
      <c r="A128" s="167" t="s">
        <v>38</v>
      </c>
      <c r="B128" s="149"/>
      <c r="C128" s="115"/>
      <c r="D128" s="115"/>
      <c r="E128" s="115"/>
      <c r="F128" s="115"/>
      <c r="G128" s="115"/>
      <c r="H128" s="149"/>
      <c r="I128" s="149"/>
      <c r="J128" s="149"/>
      <c r="K128" s="149"/>
      <c r="L128" s="180"/>
    </row>
    <row r="129" spans="1:12">
      <c r="A129" s="167" t="s">
        <v>40</v>
      </c>
      <c r="B129" s="149"/>
      <c r="C129" s="115"/>
      <c r="D129" s="115"/>
      <c r="E129" s="115"/>
      <c r="F129" s="115"/>
      <c r="G129" s="115"/>
      <c r="H129" s="149"/>
      <c r="I129" s="149"/>
      <c r="J129" s="149"/>
      <c r="K129" s="149"/>
      <c r="L129" s="180"/>
    </row>
    <row r="130" spans="1:12">
      <c r="A130" s="167" t="s">
        <v>41</v>
      </c>
      <c r="B130" s="149"/>
      <c r="C130" s="115"/>
      <c r="D130" s="115"/>
      <c r="E130" s="115"/>
      <c r="F130" s="115"/>
      <c r="G130" s="115"/>
      <c r="H130" s="149"/>
      <c r="I130" s="149"/>
      <c r="J130" s="149"/>
      <c r="K130" s="149"/>
      <c r="L130" s="180"/>
    </row>
    <row r="131" spans="1:12">
      <c r="A131" s="167" t="s">
        <v>42</v>
      </c>
      <c r="B131" s="149"/>
      <c r="C131" s="115"/>
      <c r="D131" s="115"/>
      <c r="E131" s="115"/>
      <c r="F131" s="115"/>
      <c r="G131" s="115"/>
      <c r="H131" s="149"/>
      <c r="I131" s="149"/>
      <c r="J131" s="149"/>
      <c r="K131" s="149"/>
      <c r="L131" s="180"/>
    </row>
    <row r="132" spans="1:12">
      <c r="A132" s="167" t="s">
        <v>43</v>
      </c>
      <c r="B132" s="149"/>
      <c r="C132" s="115"/>
      <c r="D132" s="115"/>
      <c r="E132" s="115"/>
      <c r="F132" s="115"/>
      <c r="G132" s="115"/>
      <c r="H132" s="149"/>
      <c r="I132" s="149"/>
      <c r="J132" s="149"/>
      <c r="K132" s="149"/>
      <c r="L132" s="180"/>
    </row>
    <row r="133" spans="1:12">
      <c r="A133" s="167" t="s">
        <v>44</v>
      </c>
      <c r="B133" s="149"/>
      <c r="C133" s="115"/>
      <c r="D133" s="115"/>
      <c r="E133" s="115"/>
      <c r="F133" s="115"/>
      <c r="G133" s="115"/>
      <c r="H133" s="149"/>
      <c r="I133" s="149"/>
      <c r="J133" s="149"/>
      <c r="K133" s="149"/>
      <c r="L133" s="180"/>
    </row>
    <row r="134" ht="14.25" spans="1:12">
      <c r="A134" s="169" t="s">
        <v>45</v>
      </c>
      <c r="B134" s="150"/>
      <c r="C134" s="172"/>
      <c r="D134" s="172"/>
      <c r="E134" s="172"/>
      <c r="F134" s="172"/>
      <c r="G134" s="172"/>
      <c r="H134" s="150"/>
      <c r="I134" s="150"/>
      <c r="J134" s="150"/>
      <c r="K134" s="150"/>
      <c r="L134" s="181"/>
    </row>
    <row r="136" spans="2:9">
      <c r="B136" s="81" t="s">
        <v>87</v>
      </c>
      <c r="C136" s="81"/>
      <c r="D136" s="81"/>
      <c r="E136" s="81"/>
      <c r="F136" s="81"/>
      <c r="G136" s="81"/>
      <c r="H136" s="81"/>
      <c r="I136" s="81"/>
    </row>
    <row r="137" spans="2:9">
      <c r="B137" s="81"/>
      <c r="C137" s="81"/>
      <c r="D137" s="81"/>
      <c r="E137" s="81"/>
      <c r="F137" s="81"/>
      <c r="G137" s="81"/>
      <c r="H137" s="81"/>
      <c r="I137" s="81"/>
    </row>
    <row r="138" spans="2:9">
      <c r="B138" s="81"/>
      <c r="C138" s="81"/>
      <c r="D138" s="81"/>
      <c r="E138" s="81"/>
      <c r="F138" s="81"/>
      <c r="G138" s="81"/>
      <c r="H138" s="81"/>
      <c r="I138" s="81"/>
    </row>
    <row r="139" spans="2:9">
      <c r="B139" s="81"/>
      <c r="C139" s="81"/>
      <c r="D139" s="81"/>
      <c r="E139" s="81"/>
      <c r="F139" s="81"/>
      <c r="G139" s="81"/>
      <c r="H139" s="81"/>
      <c r="I139" s="81"/>
    </row>
    <row r="140" spans="2:9">
      <c r="B140" s="81"/>
      <c r="C140" s="81"/>
      <c r="D140" s="81"/>
      <c r="E140" s="81"/>
      <c r="F140" s="81"/>
      <c r="G140" s="81"/>
      <c r="H140" s="81"/>
      <c r="I140" s="81"/>
    </row>
    <row r="142" ht="14.25"/>
    <row r="143" spans="2:7">
      <c r="B143" s="164" t="s">
        <v>88</v>
      </c>
      <c r="C143" s="191">
        <v>5</v>
      </c>
      <c r="D143" s="191">
        <v>10</v>
      </c>
      <c r="E143" s="191">
        <v>15</v>
      </c>
      <c r="F143" s="191">
        <v>20</v>
      </c>
      <c r="G143" s="192">
        <v>25</v>
      </c>
    </row>
    <row r="144" spans="2:7">
      <c r="B144" s="193" t="s">
        <v>27</v>
      </c>
      <c r="C144" s="194">
        <f>J123*$C$143/K123</f>
        <v>10.1111176378446</v>
      </c>
      <c r="D144" s="194">
        <f>J123*$D$143/K123</f>
        <v>20.2222352756893</v>
      </c>
      <c r="E144" s="194">
        <f>J123*$E$143/K123</f>
        <v>30.3333529135339</v>
      </c>
      <c r="F144" s="194">
        <f>J123*$F$143/K123</f>
        <v>40.4444705513785</v>
      </c>
      <c r="G144" s="195">
        <f>J123*$G$143/K123</f>
        <v>50.5555881892231</v>
      </c>
    </row>
    <row r="145" spans="2:7">
      <c r="B145" s="193" t="s">
        <v>30</v>
      </c>
      <c r="C145" s="194">
        <f t="shared" ref="C145:C155" si="28">J124*$C$143/K124</f>
        <v>9.74248652291104</v>
      </c>
      <c r="D145" s="194">
        <f t="shared" ref="D145:D155" si="29">J124*$D$143/K124</f>
        <v>19.4849730458221</v>
      </c>
      <c r="E145" s="194">
        <f t="shared" ref="E145:E155" si="30">J124*$E$143/K124</f>
        <v>29.2274595687331</v>
      </c>
      <c r="F145" s="194">
        <f t="shared" ref="F145:F155" si="31">J124*$F$143/K124</f>
        <v>38.9699460916442</v>
      </c>
      <c r="G145" s="195">
        <f t="shared" ref="G145:G155" si="32">J124*$G$143/K124</f>
        <v>48.7124326145552</v>
      </c>
    </row>
    <row r="146" spans="2:7">
      <c r="B146" s="193" t="s">
        <v>32</v>
      </c>
      <c r="C146" s="194">
        <f t="shared" si="28"/>
        <v>9.21685386273209</v>
      </c>
      <c r="D146" s="194">
        <f t="shared" si="29"/>
        <v>18.4337077254642</v>
      </c>
      <c r="E146" s="194">
        <f t="shared" si="30"/>
        <v>27.6505615881963</v>
      </c>
      <c r="F146" s="194">
        <f t="shared" si="31"/>
        <v>36.8674154509284</v>
      </c>
      <c r="G146" s="195">
        <f t="shared" si="32"/>
        <v>46.0842693136605</v>
      </c>
    </row>
    <row r="147" spans="2:7">
      <c r="B147" s="193" t="s">
        <v>34</v>
      </c>
      <c r="C147" s="194">
        <f t="shared" si="28"/>
        <v>8.8347572815534</v>
      </c>
      <c r="D147" s="194">
        <f t="shared" si="29"/>
        <v>17.6695145631068</v>
      </c>
      <c r="E147" s="194">
        <f t="shared" si="30"/>
        <v>26.5042718446602</v>
      </c>
      <c r="F147" s="194">
        <f t="shared" si="31"/>
        <v>35.3390291262136</v>
      </c>
      <c r="G147" s="195">
        <f t="shared" si="32"/>
        <v>44.173786407767</v>
      </c>
    </row>
    <row r="148" spans="2:7">
      <c r="B148" s="193" t="s">
        <v>36</v>
      </c>
      <c r="C148" s="194" t="e">
        <f t="shared" si="28"/>
        <v>#DIV/0!</v>
      </c>
      <c r="D148" s="194" t="e">
        <f t="shared" si="29"/>
        <v>#DIV/0!</v>
      </c>
      <c r="E148" s="194" t="e">
        <f t="shared" si="30"/>
        <v>#DIV/0!</v>
      </c>
      <c r="F148" s="194" t="e">
        <f t="shared" si="31"/>
        <v>#DIV/0!</v>
      </c>
      <c r="G148" s="195" t="e">
        <f t="shared" si="32"/>
        <v>#DIV/0!</v>
      </c>
    </row>
    <row r="149" spans="2:7">
      <c r="B149" s="193" t="s">
        <v>38</v>
      </c>
      <c r="C149" s="194" t="e">
        <f t="shared" si="28"/>
        <v>#DIV/0!</v>
      </c>
      <c r="D149" s="194" t="e">
        <f t="shared" si="29"/>
        <v>#DIV/0!</v>
      </c>
      <c r="E149" s="194" t="e">
        <f t="shared" si="30"/>
        <v>#DIV/0!</v>
      </c>
      <c r="F149" s="194" t="e">
        <f t="shared" si="31"/>
        <v>#DIV/0!</v>
      </c>
      <c r="G149" s="195" t="e">
        <f t="shared" si="32"/>
        <v>#DIV/0!</v>
      </c>
    </row>
    <row r="150" spans="2:7">
      <c r="B150" s="193" t="s">
        <v>40</v>
      </c>
      <c r="C150" s="194" t="e">
        <f t="shared" si="28"/>
        <v>#DIV/0!</v>
      </c>
      <c r="D150" s="194" t="e">
        <f t="shared" si="29"/>
        <v>#DIV/0!</v>
      </c>
      <c r="E150" s="194" t="e">
        <f t="shared" si="30"/>
        <v>#DIV/0!</v>
      </c>
      <c r="F150" s="194" t="e">
        <f t="shared" si="31"/>
        <v>#DIV/0!</v>
      </c>
      <c r="G150" s="195" t="e">
        <f t="shared" si="32"/>
        <v>#DIV/0!</v>
      </c>
    </row>
    <row r="151" spans="2:7">
      <c r="B151" s="193" t="s">
        <v>41</v>
      </c>
      <c r="C151" s="194" t="e">
        <f t="shared" si="28"/>
        <v>#DIV/0!</v>
      </c>
      <c r="D151" s="194" t="e">
        <f t="shared" si="29"/>
        <v>#DIV/0!</v>
      </c>
      <c r="E151" s="194" t="e">
        <f t="shared" si="30"/>
        <v>#DIV/0!</v>
      </c>
      <c r="F151" s="194" t="e">
        <f t="shared" si="31"/>
        <v>#DIV/0!</v>
      </c>
      <c r="G151" s="195" t="e">
        <f t="shared" si="32"/>
        <v>#DIV/0!</v>
      </c>
    </row>
    <row r="152" spans="2:7">
      <c r="B152" s="193" t="s">
        <v>42</v>
      </c>
      <c r="C152" s="194" t="e">
        <f t="shared" si="28"/>
        <v>#DIV/0!</v>
      </c>
      <c r="D152" s="194" t="e">
        <f t="shared" si="29"/>
        <v>#DIV/0!</v>
      </c>
      <c r="E152" s="194" t="e">
        <f t="shared" si="30"/>
        <v>#DIV/0!</v>
      </c>
      <c r="F152" s="194" t="e">
        <f t="shared" si="31"/>
        <v>#DIV/0!</v>
      </c>
      <c r="G152" s="195" t="e">
        <f t="shared" si="32"/>
        <v>#DIV/0!</v>
      </c>
    </row>
    <row r="153" spans="2:7">
      <c r="B153" s="193" t="s">
        <v>43</v>
      </c>
      <c r="C153" s="194" t="e">
        <f t="shared" si="28"/>
        <v>#DIV/0!</v>
      </c>
      <c r="D153" s="194" t="e">
        <f t="shared" si="29"/>
        <v>#DIV/0!</v>
      </c>
      <c r="E153" s="194" t="e">
        <f t="shared" si="30"/>
        <v>#DIV/0!</v>
      </c>
      <c r="F153" s="194" t="e">
        <f t="shared" si="31"/>
        <v>#DIV/0!</v>
      </c>
      <c r="G153" s="195" t="e">
        <f t="shared" si="32"/>
        <v>#DIV/0!</v>
      </c>
    </row>
    <row r="154" spans="2:7">
      <c r="B154" s="193" t="s">
        <v>44</v>
      </c>
      <c r="C154" s="194" t="e">
        <f t="shared" si="28"/>
        <v>#DIV/0!</v>
      </c>
      <c r="D154" s="194" t="e">
        <f t="shared" si="29"/>
        <v>#DIV/0!</v>
      </c>
      <c r="E154" s="194" t="e">
        <f t="shared" si="30"/>
        <v>#DIV/0!</v>
      </c>
      <c r="F154" s="194" t="e">
        <f t="shared" si="31"/>
        <v>#DIV/0!</v>
      </c>
      <c r="G154" s="195" t="e">
        <f t="shared" si="32"/>
        <v>#DIV/0!</v>
      </c>
    </row>
    <row r="155" ht="14.25" spans="2:7">
      <c r="B155" s="196" t="s">
        <v>45</v>
      </c>
      <c r="C155" s="197" t="e">
        <f t="shared" si="28"/>
        <v>#DIV/0!</v>
      </c>
      <c r="D155" s="197" t="e">
        <f t="shared" si="29"/>
        <v>#DIV/0!</v>
      </c>
      <c r="E155" s="197" t="e">
        <f t="shared" si="30"/>
        <v>#DIV/0!</v>
      </c>
      <c r="F155" s="197" t="e">
        <f t="shared" si="31"/>
        <v>#DIV/0!</v>
      </c>
      <c r="G155" s="198" t="e">
        <f t="shared" si="32"/>
        <v>#DIV/0!</v>
      </c>
    </row>
  </sheetData>
  <mergeCells count="14">
    <mergeCell ref="A2:G2"/>
    <mergeCell ref="A18:F18"/>
    <mergeCell ref="A39:F39"/>
    <mergeCell ref="A55:F55"/>
    <mergeCell ref="A71:G71"/>
    <mergeCell ref="A87:F87"/>
    <mergeCell ref="A104:G104"/>
    <mergeCell ref="A121:L121"/>
    <mergeCell ref="G88:G100"/>
    <mergeCell ref="H72:H84"/>
    <mergeCell ref="G19:J31"/>
    <mergeCell ref="H105:I117"/>
    <mergeCell ref="H4:J10"/>
    <mergeCell ref="B136:I14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6"/>
  <sheetViews>
    <sheetView zoomScale="85" zoomScaleNormal="85" workbookViewId="0">
      <selection activeCell="B1" sqref="B1:M3"/>
    </sheetView>
  </sheetViews>
  <sheetFormatPr defaultColWidth="9" defaultRowHeight="13.5"/>
  <cols>
    <col min="1" max="1" width="25.375" customWidth="1"/>
    <col min="2" max="2" width="11.5"/>
    <col min="3" max="3" width="12.875" customWidth="1"/>
    <col min="4" max="4" width="10.875" customWidth="1"/>
    <col min="5" max="7" width="17.125" customWidth="1"/>
    <col min="8" max="12" width="13.575" customWidth="1"/>
    <col min="15" max="15" width="25.375" customWidth="1"/>
    <col min="16" max="18" width="12.625" customWidth="1"/>
    <col min="19" max="19" width="8.875" customWidth="1"/>
    <col min="20" max="20" width="12.625" customWidth="1"/>
    <col min="21" max="22" width="75.75" customWidth="1"/>
    <col min="23" max="23" width="12.625"/>
  </cols>
  <sheetData>
    <row r="1" spans="2:13">
      <c r="B1" s="107" t="s">
        <v>89</v>
      </c>
      <c r="C1" s="108"/>
      <c r="D1" s="108"/>
      <c r="E1" s="108"/>
      <c r="F1" s="108"/>
      <c r="G1" s="108"/>
      <c r="H1" s="108"/>
      <c r="I1" s="108"/>
      <c r="J1" s="108"/>
      <c r="K1" s="108"/>
      <c r="L1" s="108"/>
      <c r="M1" s="108"/>
    </row>
    <row r="2" spans="2:13">
      <c r="B2" s="108"/>
      <c r="C2" s="108"/>
      <c r="D2" s="108"/>
      <c r="E2" s="108"/>
      <c r="F2" s="108"/>
      <c r="G2" s="108"/>
      <c r="H2" s="108"/>
      <c r="I2" s="108"/>
      <c r="J2" s="108"/>
      <c r="K2" s="108"/>
      <c r="L2" s="108"/>
      <c r="M2" s="108"/>
    </row>
    <row r="3" spans="2:13">
      <c r="B3" s="108"/>
      <c r="C3" s="108"/>
      <c r="D3" s="108"/>
      <c r="E3" s="108"/>
      <c r="F3" s="108"/>
      <c r="G3" s="108"/>
      <c r="H3" s="108"/>
      <c r="I3" s="108"/>
      <c r="J3" s="108"/>
      <c r="K3" s="108"/>
      <c r="L3" s="108"/>
      <c r="M3" s="108"/>
    </row>
    <row r="6" spans="1:13">
      <c r="A6" s="15"/>
      <c r="B6" s="15"/>
      <c r="C6" s="15"/>
      <c r="D6" s="15"/>
      <c r="E6" s="15"/>
      <c r="F6" s="15"/>
      <c r="G6" s="15"/>
      <c r="H6" s="15"/>
      <c r="I6" s="15"/>
      <c r="J6" s="15"/>
      <c r="K6" s="15"/>
      <c r="L6" s="15"/>
      <c r="M6" s="15"/>
    </row>
    <row r="7" spans="1:24">
      <c r="A7" s="1" t="s">
        <v>90</v>
      </c>
      <c r="B7" s="15" t="s">
        <v>91</v>
      </c>
      <c r="C7" s="15"/>
      <c r="D7" s="15"/>
      <c r="E7" s="15"/>
      <c r="F7" s="15"/>
      <c r="G7" s="15"/>
      <c r="H7" s="15"/>
      <c r="I7" s="15"/>
      <c r="J7" s="15"/>
      <c r="K7" s="15"/>
      <c r="L7" s="15"/>
      <c r="M7" s="15"/>
      <c r="N7" s="81" t="s">
        <v>92</v>
      </c>
      <c r="O7" s="81"/>
      <c r="P7" s="81"/>
      <c r="Q7" s="81"/>
      <c r="R7" s="81"/>
      <c r="S7" s="81"/>
      <c r="T7" s="81"/>
      <c r="U7" s="81"/>
      <c r="V7" s="81"/>
      <c r="W7" s="81"/>
      <c r="X7" s="81"/>
    </row>
    <row r="8" spans="1:24">
      <c r="A8" s="128" t="s">
        <v>93</v>
      </c>
      <c r="B8" s="15" t="s">
        <v>94</v>
      </c>
      <c r="C8" s="15"/>
      <c r="D8" s="15"/>
      <c r="E8" s="15"/>
      <c r="F8" s="15"/>
      <c r="G8" s="15"/>
      <c r="H8" s="15"/>
      <c r="I8" s="15"/>
      <c r="J8" s="15"/>
      <c r="K8" s="15"/>
      <c r="L8" s="15"/>
      <c r="M8" s="15"/>
      <c r="N8" s="81"/>
      <c r="O8" s="81"/>
      <c r="P8" s="81"/>
      <c r="Q8" s="81"/>
      <c r="R8" s="81"/>
      <c r="S8" s="81"/>
      <c r="T8" s="81"/>
      <c r="U8" s="81"/>
      <c r="V8" s="81"/>
      <c r="W8" s="81"/>
      <c r="X8" s="81"/>
    </row>
    <row r="9" spans="1:24">
      <c r="A9" s="128" t="s">
        <v>95</v>
      </c>
      <c r="B9" s="15" t="s">
        <v>96</v>
      </c>
      <c r="C9" s="15"/>
      <c r="D9" s="15"/>
      <c r="E9" s="15"/>
      <c r="F9" s="15"/>
      <c r="G9" s="15"/>
      <c r="H9" s="15"/>
      <c r="I9" s="15"/>
      <c r="J9" s="15"/>
      <c r="K9" s="15"/>
      <c r="L9" s="15"/>
      <c r="M9" s="15"/>
      <c r="N9" s="81"/>
      <c r="O9" s="81"/>
      <c r="P9" s="81"/>
      <c r="Q9" s="81"/>
      <c r="R9" s="81"/>
      <c r="S9" s="81"/>
      <c r="T9" s="81"/>
      <c r="U9" s="81"/>
      <c r="V9" s="81"/>
      <c r="W9" s="81"/>
      <c r="X9" s="81"/>
    </row>
    <row r="10" spans="1:24">
      <c r="A10" s="128" t="s">
        <v>97</v>
      </c>
      <c r="B10" s="15" t="s">
        <v>98</v>
      </c>
      <c r="C10" s="15"/>
      <c r="D10" s="15"/>
      <c r="E10" s="15"/>
      <c r="F10" s="15"/>
      <c r="G10" s="15"/>
      <c r="H10" s="15"/>
      <c r="I10" s="15"/>
      <c r="J10" s="15"/>
      <c r="K10" s="15"/>
      <c r="L10" s="15"/>
      <c r="M10" s="15"/>
      <c r="N10" s="81"/>
      <c r="O10" s="81"/>
      <c r="P10" s="81"/>
      <c r="Q10" s="81"/>
      <c r="R10" s="81"/>
      <c r="S10" s="81"/>
      <c r="T10" s="81"/>
      <c r="U10" s="81"/>
      <c r="V10" s="81"/>
      <c r="W10" s="81"/>
      <c r="X10" s="81"/>
    </row>
    <row r="11" spans="1:24">
      <c r="A11" s="128" t="s">
        <v>99</v>
      </c>
      <c r="B11" s="15" t="s">
        <v>100</v>
      </c>
      <c r="C11" s="15"/>
      <c r="D11" s="15"/>
      <c r="E11" s="15"/>
      <c r="F11" s="15"/>
      <c r="G11" s="15"/>
      <c r="H11" s="15"/>
      <c r="I11" s="15"/>
      <c r="J11" s="15"/>
      <c r="K11" s="15"/>
      <c r="L11" s="15"/>
      <c r="M11" s="15"/>
      <c r="N11" s="81"/>
      <c r="O11" s="81"/>
      <c r="P11" s="81"/>
      <c r="Q11" s="81"/>
      <c r="R11" s="81"/>
      <c r="S11" s="81"/>
      <c r="T11" s="81"/>
      <c r="U11" s="81"/>
      <c r="V11" s="81"/>
      <c r="W11" s="81"/>
      <c r="X11" s="81"/>
    </row>
    <row r="12" spans="1:24">
      <c r="A12" s="1" t="s">
        <v>101</v>
      </c>
      <c r="B12" s="15" t="s">
        <v>102</v>
      </c>
      <c r="C12" s="15"/>
      <c r="D12" s="15"/>
      <c r="E12" s="15"/>
      <c r="F12" s="15"/>
      <c r="G12" s="15"/>
      <c r="H12" s="15"/>
      <c r="I12" s="15"/>
      <c r="J12" s="15"/>
      <c r="K12" s="15"/>
      <c r="L12" s="15"/>
      <c r="M12" s="15"/>
      <c r="N12" s="81"/>
      <c r="O12" s="81"/>
      <c r="P12" s="81"/>
      <c r="Q12" s="81"/>
      <c r="R12" s="81"/>
      <c r="S12" s="81"/>
      <c r="T12" s="81"/>
      <c r="U12" s="81"/>
      <c r="V12" s="81"/>
      <c r="W12" s="81"/>
      <c r="X12" s="81"/>
    </row>
    <row r="13" spans="1:24">
      <c r="A13" s="1" t="s">
        <v>103</v>
      </c>
      <c r="B13" s="15" t="s">
        <v>104</v>
      </c>
      <c r="C13" s="15"/>
      <c r="D13" s="15"/>
      <c r="E13" s="15"/>
      <c r="F13" s="15"/>
      <c r="G13" s="15"/>
      <c r="H13" s="15"/>
      <c r="I13" s="15"/>
      <c r="J13" s="15"/>
      <c r="K13" s="15"/>
      <c r="L13" s="15"/>
      <c r="M13" s="15"/>
      <c r="N13" s="81"/>
      <c r="O13" s="81"/>
      <c r="P13" s="81"/>
      <c r="Q13" s="81"/>
      <c r="R13" s="81"/>
      <c r="S13" s="81"/>
      <c r="T13" s="81"/>
      <c r="U13" s="81"/>
      <c r="V13" s="81"/>
      <c r="W13" s="81"/>
      <c r="X13" s="81"/>
    </row>
    <row r="14" spans="1:24">
      <c r="A14" s="1" t="s">
        <v>90</v>
      </c>
      <c r="B14" s="15" t="s">
        <v>105</v>
      </c>
      <c r="C14" s="15"/>
      <c r="D14" s="15"/>
      <c r="E14" s="15"/>
      <c r="F14" s="15"/>
      <c r="G14" s="15"/>
      <c r="H14" s="15"/>
      <c r="I14" s="15"/>
      <c r="J14" s="15"/>
      <c r="K14" s="15"/>
      <c r="L14" s="15"/>
      <c r="M14" s="15"/>
      <c r="N14" s="81"/>
      <c r="O14" s="81"/>
      <c r="P14" s="81"/>
      <c r="Q14" s="81"/>
      <c r="R14" s="81"/>
      <c r="S14" s="81"/>
      <c r="T14" s="81"/>
      <c r="U14" s="81"/>
      <c r="V14" s="81"/>
      <c r="W14" s="81"/>
      <c r="X14" s="81"/>
    </row>
    <row r="15" ht="14.25" spans="14:24">
      <c r="N15" s="81"/>
      <c r="O15" s="81"/>
      <c r="P15" s="81"/>
      <c r="Q15" s="81"/>
      <c r="R15" s="81"/>
      <c r="S15" s="81"/>
      <c r="T15" s="81"/>
      <c r="U15" s="81"/>
      <c r="V15" s="81"/>
      <c r="W15" s="81"/>
      <c r="X15" s="81"/>
    </row>
    <row r="16" spans="1:24">
      <c r="A16" s="129"/>
      <c r="B16" s="130" t="s">
        <v>90</v>
      </c>
      <c r="C16" s="130" t="s">
        <v>93</v>
      </c>
      <c r="D16" s="130" t="s">
        <v>95</v>
      </c>
      <c r="E16" s="130" t="s">
        <v>99</v>
      </c>
      <c r="F16" s="130" t="s">
        <v>97</v>
      </c>
      <c r="G16" s="131" t="s">
        <v>101</v>
      </c>
      <c r="H16" s="130" t="s">
        <v>103</v>
      </c>
      <c r="I16" s="140"/>
      <c r="J16" s="140"/>
      <c r="K16" s="140"/>
      <c r="L16" s="140"/>
      <c r="M16" s="128"/>
      <c r="N16" s="81"/>
      <c r="O16" s="81"/>
      <c r="P16" s="81"/>
      <c r="Q16" s="81"/>
      <c r="R16" s="81"/>
      <c r="S16" s="81"/>
      <c r="T16" s="81"/>
      <c r="U16" s="81"/>
      <c r="V16" s="81"/>
      <c r="W16" s="81"/>
      <c r="X16" s="81"/>
    </row>
    <row r="17" spans="1:24">
      <c r="A17" s="132" t="s">
        <v>106</v>
      </c>
      <c r="B17" s="133" t="s">
        <v>107</v>
      </c>
      <c r="C17" s="133" t="s">
        <v>108</v>
      </c>
      <c r="D17" s="133" t="s">
        <v>109</v>
      </c>
      <c r="E17" s="133" t="s">
        <v>110</v>
      </c>
      <c r="F17" s="133" t="s">
        <v>109</v>
      </c>
      <c r="G17" s="133" t="s">
        <v>109</v>
      </c>
      <c r="H17" s="133" t="s">
        <v>107</v>
      </c>
      <c r="I17" s="133"/>
      <c r="J17" s="141"/>
      <c r="K17" s="141"/>
      <c r="L17" s="141"/>
      <c r="M17" s="128"/>
      <c r="N17" s="81"/>
      <c r="O17" s="81"/>
      <c r="P17" s="81"/>
      <c r="Q17" s="81"/>
      <c r="R17" s="81"/>
      <c r="S17" s="81"/>
      <c r="T17" s="81"/>
      <c r="U17" s="81"/>
      <c r="V17" s="81"/>
      <c r="W17" s="81"/>
      <c r="X17" s="81"/>
    </row>
    <row r="18" spans="1:14">
      <c r="A18" s="134" t="s">
        <v>111</v>
      </c>
      <c r="B18" s="135">
        <v>63</v>
      </c>
      <c r="C18" s="135">
        <v>63</v>
      </c>
      <c r="D18" s="135">
        <v>75</v>
      </c>
      <c r="E18" s="135">
        <v>75</v>
      </c>
      <c r="F18" s="135">
        <v>75</v>
      </c>
      <c r="G18" s="135">
        <v>75</v>
      </c>
      <c r="H18" s="135">
        <v>63</v>
      </c>
      <c r="I18" s="135"/>
      <c r="J18" s="141"/>
      <c r="K18" s="141"/>
      <c r="L18" s="141"/>
      <c r="M18" s="128"/>
      <c r="N18" s="128"/>
    </row>
    <row r="19" spans="1:14">
      <c r="A19" s="134" t="s">
        <v>112</v>
      </c>
      <c r="B19" s="135">
        <v>417</v>
      </c>
      <c r="C19" s="135">
        <v>409</v>
      </c>
      <c r="D19" s="135">
        <v>388.6</v>
      </c>
      <c r="E19" s="135">
        <v>380.6</v>
      </c>
      <c r="F19" s="135">
        <v>388.6</v>
      </c>
      <c r="G19" s="135">
        <v>388.6</v>
      </c>
      <c r="H19" s="135">
        <v>417</v>
      </c>
      <c r="I19" s="135"/>
      <c r="J19" s="141"/>
      <c r="K19" s="141"/>
      <c r="L19" s="141"/>
      <c r="M19" s="128"/>
      <c r="N19" s="128"/>
    </row>
    <row r="20" spans="1:17">
      <c r="A20" s="134" t="s">
        <v>113</v>
      </c>
      <c r="B20" s="135">
        <f t="shared" ref="B20:I20" si="0">(B18+B19)/2</f>
        <v>240</v>
      </c>
      <c r="C20" s="135">
        <f t="shared" si="0"/>
        <v>236</v>
      </c>
      <c r="D20" s="135">
        <f t="shared" si="0"/>
        <v>231.8</v>
      </c>
      <c r="E20" s="135">
        <f t="shared" si="0"/>
        <v>227.8</v>
      </c>
      <c r="F20" s="135">
        <f t="shared" si="0"/>
        <v>231.8</v>
      </c>
      <c r="G20" s="135">
        <f t="shared" si="0"/>
        <v>231.8</v>
      </c>
      <c r="H20" s="135">
        <f t="shared" si="0"/>
        <v>240</v>
      </c>
      <c r="I20" s="135"/>
      <c r="J20" s="141"/>
      <c r="K20" s="141"/>
      <c r="L20" s="141"/>
      <c r="M20" s="128"/>
      <c r="N20" s="128"/>
      <c r="O20" s="142" t="s">
        <v>114</v>
      </c>
      <c r="P20" s="143"/>
      <c r="Q20" s="151"/>
    </row>
    <row r="21" spans="1:17">
      <c r="A21" s="134" t="s">
        <v>115</v>
      </c>
      <c r="B21" s="135">
        <v>1.15</v>
      </c>
      <c r="C21" s="135">
        <v>1.15</v>
      </c>
      <c r="D21" s="135">
        <v>1.15</v>
      </c>
      <c r="E21" s="135">
        <v>1.15</v>
      </c>
      <c r="F21" s="135">
        <v>1.15</v>
      </c>
      <c r="G21" s="135">
        <v>1.15</v>
      </c>
      <c r="H21" s="135">
        <v>1.15</v>
      </c>
      <c r="I21" s="135"/>
      <c r="J21" s="141"/>
      <c r="K21" s="141"/>
      <c r="L21" s="141"/>
      <c r="M21" s="128"/>
      <c r="N21" s="128"/>
      <c r="O21" s="144"/>
      <c r="P21" s="145"/>
      <c r="Q21" s="152"/>
    </row>
    <row r="22" spans="1:17">
      <c r="A22" s="134" t="s">
        <v>116</v>
      </c>
      <c r="B22" s="135">
        <v>1.24</v>
      </c>
      <c r="C22" s="135">
        <v>1.24</v>
      </c>
      <c r="D22" s="135">
        <v>1.24</v>
      </c>
      <c r="E22" s="135">
        <v>1.24</v>
      </c>
      <c r="F22" s="135">
        <v>1.24</v>
      </c>
      <c r="G22" s="135">
        <v>1.24</v>
      </c>
      <c r="H22" s="135">
        <v>1.24</v>
      </c>
      <c r="I22" s="135"/>
      <c r="J22" s="141"/>
      <c r="K22" s="141"/>
      <c r="L22" s="141"/>
      <c r="M22" s="128"/>
      <c r="N22" s="128"/>
      <c r="O22" s="119"/>
      <c r="P22" s="146" t="s">
        <v>90</v>
      </c>
      <c r="Q22" s="146" t="s">
        <v>90</v>
      </c>
    </row>
    <row r="23" spans="1:17">
      <c r="A23" s="134" t="s">
        <v>117</v>
      </c>
      <c r="B23" s="135">
        <f t="shared" ref="B23:I23" si="1">(B21+B22)/2</f>
        <v>1.195</v>
      </c>
      <c r="C23" s="135">
        <f t="shared" si="1"/>
        <v>1.195</v>
      </c>
      <c r="D23" s="135">
        <f t="shared" si="1"/>
        <v>1.195</v>
      </c>
      <c r="E23" s="135">
        <f t="shared" si="1"/>
        <v>1.195</v>
      </c>
      <c r="F23" s="135">
        <f t="shared" si="1"/>
        <v>1.195</v>
      </c>
      <c r="G23" s="135">
        <f t="shared" si="1"/>
        <v>1.195</v>
      </c>
      <c r="H23" s="135">
        <f t="shared" si="1"/>
        <v>1.195</v>
      </c>
      <c r="I23" s="135"/>
      <c r="J23" s="141"/>
      <c r="K23" s="141"/>
      <c r="L23" s="141"/>
      <c r="M23" s="128"/>
      <c r="N23" s="128"/>
      <c r="O23" s="114" t="s">
        <v>106</v>
      </c>
      <c r="P23" s="147" t="s">
        <v>107</v>
      </c>
      <c r="Q23" s="153" t="s">
        <v>107</v>
      </c>
    </row>
    <row r="24" spans="1:17">
      <c r="A24" s="134" t="s">
        <v>21</v>
      </c>
      <c r="B24" s="135">
        <v>10</v>
      </c>
      <c r="C24" s="135">
        <v>10</v>
      </c>
      <c r="D24" s="135">
        <v>10</v>
      </c>
      <c r="E24" s="135">
        <v>10</v>
      </c>
      <c r="F24" s="135">
        <v>10</v>
      </c>
      <c r="G24" s="135">
        <v>10</v>
      </c>
      <c r="H24" s="135">
        <v>10</v>
      </c>
      <c r="I24" s="135"/>
      <c r="J24" s="141"/>
      <c r="K24" s="141"/>
      <c r="L24" s="141"/>
      <c r="M24" s="128"/>
      <c r="N24" s="128"/>
      <c r="O24" s="114" t="s">
        <v>111</v>
      </c>
      <c r="P24" s="147">
        <v>63</v>
      </c>
      <c r="Q24" s="153">
        <v>63</v>
      </c>
    </row>
    <row r="25" spans="1:17">
      <c r="A25" s="134" t="s">
        <v>118</v>
      </c>
      <c r="B25" s="135">
        <v>1.65</v>
      </c>
      <c r="C25" s="135">
        <v>1.65</v>
      </c>
      <c r="D25" s="135">
        <v>1.65</v>
      </c>
      <c r="E25" s="135">
        <v>1.65</v>
      </c>
      <c r="F25" s="135">
        <v>1.65</v>
      </c>
      <c r="G25" s="135">
        <v>1.65</v>
      </c>
      <c r="H25" s="135">
        <v>1.65</v>
      </c>
      <c r="I25" s="135"/>
      <c r="J25" s="141"/>
      <c r="K25" s="141"/>
      <c r="L25" s="141"/>
      <c r="M25" s="128"/>
      <c r="N25" s="128"/>
      <c r="O25" s="114" t="s">
        <v>112</v>
      </c>
      <c r="P25" s="147">
        <v>417</v>
      </c>
      <c r="Q25" s="153">
        <v>417</v>
      </c>
    </row>
    <row r="26" spans="1:17">
      <c r="A26" s="134" t="s">
        <v>119</v>
      </c>
      <c r="B26" s="135">
        <v>990</v>
      </c>
      <c r="C26" s="135">
        <v>990</v>
      </c>
      <c r="D26" s="135">
        <v>990</v>
      </c>
      <c r="E26" s="135">
        <v>990</v>
      </c>
      <c r="F26" s="135">
        <v>990</v>
      </c>
      <c r="G26" s="135">
        <v>990</v>
      </c>
      <c r="H26" s="135">
        <v>990</v>
      </c>
      <c r="I26" s="135"/>
      <c r="J26" s="141"/>
      <c r="K26" s="141"/>
      <c r="L26" s="141"/>
      <c r="M26" s="128"/>
      <c r="N26" s="128"/>
      <c r="O26" s="114" t="s">
        <v>113</v>
      </c>
      <c r="P26" s="147">
        <f>(P24+P25)/2</f>
        <v>240</v>
      </c>
      <c r="Q26" s="153">
        <f>(Q24+Q25)/2</f>
        <v>240</v>
      </c>
    </row>
    <row r="27" spans="1:17">
      <c r="A27" s="134" t="s">
        <v>120</v>
      </c>
      <c r="B27" s="135">
        <v>10</v>
      </c>
      <c r="C27" s="135">
        <v>10</v>
      </c>
      <c r="D27" s="135">
        <v>10</v>
      </c>
      <c r="E27" s="135">
        <v>10</v>
      </c>
      <c r="F27" s="135">
        <v>10</v>
      </c>
      <c r="G27" s="135">
        <v>10</v>
      </c>
      <c r="H27" s="135">
        <v>10</v>
      </c>
      <c r="I27" s="135"/>
      <c r="J27" s="141"/>
      <c r="K27" s="141"/>
      <c r="L27" s="141"/>
      <c r="M27" s="128"/>
      <c r="N27" s="128"/>
      <c r="O27" s="114" t="s">
        <v>115</v>
      </c>
      <c r="P27" s="147">
        <v>1.15</v>
      </c>
      <c r="Q27" s="153">
        <v>1.15</v>
      </c>
    </row>
    <row r="28" spans="1:17">
      <c r="A28" s="134" t="s">
        <v>121</v>
      </c>
      <c r="B28" s="135">
        <f t="shared" ref="B28:I28" si="2">B27/(10+B27)</f>
        <v>0.5</v>
      </c>
      <c r="C28" s="135">
        <f t="shared" si="2"/>
        <v>0.5</v>
      </c>
      <c r="D28" s="135">
        <f t="shared" si="2"/>
        <v>0.5</v>
      </c>
      <c r="E28" s="135">
        <f t="shared" si="2"/>
        <v>0.5</v>
      </c>
      <c r="F28" s="135">
        <f t="shared" si="2"/>
        <v>0.5</v>
      </c>
      <c r="G28" s="135">
        <f t="shared" si="2"/>
        <v>0.5</v>
      </c>
      <c r="H28" s="135">
        <f t="shared" si="2"/>
        <v>0.5</v>
      </c>
      <c r="I28" s="135"/>
      <c r="J28" s="141"/>
      <c r="K28" s="141"/>
      <c r="L28" s="141"/>
      <c r="M28" s="128"/>
      <c r="N28" s="128"/>
      <c r="O28" s="114" t="s">
        <v>116</v>
      </c>
      <c r="P28" s="147">
        <v>1.24</v>
      </c>
      <c r="Q28" s="153">
        <v>1.24</v>
      </c>
    </row>
    <row r="29" spans="1:17">
      <c r="A29" s="134" t="s">
        <v>122</v>
      </c>
      <c r="B29" s="135">
        <v>0.44</v>
      </c>
      <c r="C29" s="135">
        <v>0.4</v>
      </c>
      <c r="D29" s="135">
        <v>0.44</v>
      </c>
      <c r="E29" s="135">
        <v>0.4</v>
      </c>
      <c r="F29" s="135">
        <v>0.44</v>
      </c>
      <c r="G29" s="135">
        <v>0.44</v>
      </c>
      <c r="H29" s="135">
        <v>0.44</v>
      </c>
      <c r="I29" s="135"/>
      <c r="J29" s="141"/>
      <c r="K29" s="141"/>
      <c r="L29" s="141"/>
      <c r="M29" s="128"/>
      <c r="N29" s="128"/>
      <c r="O29" s="114" t="s">
        <v>117</v>
      </c>
      <c r="P29" s="147">
        <f>(P27+P28)/2</f>
        <v>1.195</v>
      </c>
      <c r="Q29" s="153">
        <f>(Q27+Q28)/2</f>
        <v>1.195</v>
      </c>
    </row>
    <row r="30" spans="1:17">
      <c r="A30" s="134" t="s">
        <v>123</v>
      </c>
      <c r="B30" s="135">
        <v>1.73</v>
      </c>
      <c r="C30" s="135">
        <v>1.68</v>
      </c>
      <c r="D30" s="135">
        <v>1.58</v>
      </c>
      <c r="E30" s="135">
        <v>1.53</v>
      </c>
      <c r="F30" s="135">
        <v>1.58</v>
      </c>
      <c r="G30" s="135">
        <v>1.58</v>
      </c>
      <c r="H30" s="135">
        <v>1.73</v>
      </c>
      <c r="I30" s="135"/>
      <c r="J30" s="141"/>
      <c r="K30" s="141"/>
      <c r="L30" s="141"/>
      <c r="M30" s="128"/>
      <c r="N30" s="128"/>
      <c r="O30" s="114" t="s">
        <v>21</v>
      </c>
      <c r="P30" s="147">
        <v>10</v>
      </c>
      <c r="Q30" s="153">
        <v>10</v>
      </c>
    </row>
    <row r="31" spans="1:17">
      <c r="A31" s="136" t="s">
        <v>124</v>
      </c>
      <c r="B31" s="135">
        <f t="shared" ref="B31:G31" si="3">B26*0.1753</f>
        <v>173.547</v>
      </c>
      <c r="C31" s="135">
        <f t="shared" si="3"/>
        <v>173.547</v>
      </c>
      <c r="D31" s="135">
        <f t="shared" si="3"/>
        <v>173.547</v>
      </c>
      <c r="E31" s="135">
        <f t="shared" si="3"/>
        <v>173.547</v>
      </c>
      <c r="F31" s="135">
        <f t="shared" si="3"/>
        <v>173.547</v>
      </c>
      <c r="G31" s="135">
        <f t="shared" si="3"/>
        <v>173.547</v>
      </c>
      <c r="H31" s="135"/>
      <c r="I31" s="135"/>
      <c r="J31" s="141"/>
      <c r="K31" s="141"/>
      <c r="L31" s="141"/>
      <c r="M31" s="128"/>
      <c r="N31" s="128"/>
      <c r="O31" s="114" t="s">
        <v>118</v>
      </c>
      <c r="P31" s="147">
        <v>1.65</v>
      </c>
      <c r="Q31" s="153">
        <v>1.65</v>
      </c>
    </row>
    <row r="32" spans="1:17">
      <c r="A32" s="136" t="s">
        <v>125</v>
      </c>
      <c r="B32" s="135">
        <f t="shared" ref="B32:G32" si="4">B19*1.2*B23*B31</f>
        <v>103777.287966</v>
      </c>
      <c r="C32" s="135">
        <f t="shared" si="4"/>
        <v>101786.356782</v>
      </c>
      <c r="D32" s="135">
        <f t="shared" si="4"/>
        <v>96709.4822628</v>
      </c>
      <c r="E32" s="135">
        <f t="shared" si="4"/>
        <v>94718.5510788</v>
      </c>
      <c r="F32" s="135">
        <f t="shared" si="4"/>
        <v>96709.4822628</v>
      </c>
      <c r="G32" s="135">
        <f t="shared" si="4"/>
        <v>96709.4822628</v>
      </c>
      <c r="H32" s="135"/>
      <c r="I32" s="135"/>
      <c r="J32" s="141"/>
      <c r="K32" s="141"/>
      <c r="L32" s="141"/>
      <c r="M32" s="128"/>
      <c r="N32" s="128"/>
      <c r="O32" s="114" t="s">
        <v>119</v>
      </c>
      <c r="P32" s="147">
        <v>990</v>
      </c>
      <c r="Q32" s="153">
        <v>990</v>
      </c>
    </row>
    <row r="33" spans="1:17">
      <c r="A33" s="137" t="s">
        <v>126</v>
      </c>
      <c r="B33" s="135">
        <f t="shared" ref="B33:G33" si="5">B26*0.0795</f>
        <v>78.705</v>
      </c>
      <c r="C33" s="135">
        <f t="shared" si="5"/>
        <v>78.705</v>
      </c>
      <c r="D33" s="135">
        <f t="shared" si="5"/>
        <v>78.705</v>
      </c>
      <c r="E33" s="135">
        <f t="shared" si="5"/>
        <v>78.705</v>
      </c>
      <c r="F33" s="135">
        <f t="shared" si="5"/>
        <v>78.705</v>
      </c>
      <c r="G33" s="135">
        <f t="shared" si="5"/>
        <v>78.705</v>
      </c>
      <c r="H33" s="135">
        <f>H26*0.139726</f>
        <v>138.32874</v>
      </c>
      <c r="I33" s="135"/>
      <c r="J33" s="141"/>
      <c r="K33" s="141"/>
      <c r="L33" s="141"/>
      <c r="M33" s="128"/>
      <c r="N33" s="128"/>
      <c r="O33" s="114" t="s">
        <v>120</v>
      </c>
      <c r="P33" s="147">
        <v>10</v>
      </c>
      <c r="Q33" s="153">
        <v>10</v>
      </c>
    </row>
    <row r="34" spans="1:17">
      <c r="A34" s="137" t="s">
        <v>127</v>
      </c>
      <c r="B34" s="135">
        <f t="shared" ref="B34:I34" si="6">B33*B28</f>
        <v>39.3525</v>
      </c>
      <c r="C34" s="135">
        <f t="shared" si="6"/>
        <v>39.3525</v>
      </c>
      <c r="D34" s="135">
        <f t="shared" si="6"/>
        <v>39.3525</v>
      </c>
      <c r="E34" s="135">
        <f t="shared" si="6"/>
        <v>39.3525</v>
      </c>
      <c r="F34" s="135">
        <f t="shared" si="6"/>
        <v>39.3525</v>
      </c>
      <c r="G34" s="135">
        <f t="shared" si="6"/>
        <v>39.3525</v>
      </c>
      <c r="H34" s="135">
        <f t="shared" si="6"/>
        <v>69.16437</v>
      </c>
      <c r="I34" s="135"/>
      <c r="J34" s="141"/>
      <c r="K34" s="141"/>
      <c r="L34" s="141"/>
      <c r="M34" s="128"/>
      <c r="N34" s="128"/>
      <c r="O34" s="114" t="s">
        <v>121</v>
      </c>
      <c r="P34" s="147">
        <f>P33/(10+P33)</f>
        <v>0.5</v>
      </c>
      <c r="Q34" s="153">
        <f>Q33/(10+Q33)</f>
        <v>0.5</v>
      </c>
    </row>
    <row r="35" spans="1:17">
      <c r="A35" s="137" t="s">
        <v>128</v>
      </c>
      <c r="B35" s="135">
        <f t="shared" ref="B35:I35" si="7">B34*B29</f>
        <v>17.3151</v>
      </c>
      <c r="C35" s="135">
        <f t="shared" si="7"/>
        <v>15.741</v>
      </c>
      <c r="D35" s="135">
        <f t="shared" si="7"/>
        <v>17.3151</v>
      </c>
      <c r="E35" s="135">
        <f t="shared" si="7"/>
        <v>15.741</v>
      </c>
      <c r="F35" s="135">
        <f t="shared" si="7"/>
        <v>17.3151</v>
      </c>
      <c r="G35" s="135">
        <f t="shared" si="7"/>
        <v>17.3151</v>
      </c>
      <c r="H35" s="135">
        <f t="shared" si="7"/>
        <v>30.4323228</v>
      </c>
      <c r="I35" s="135"/>
      <c r="J35" s="141"/>
      <c r="K35" s="141"/>
      <c r="L35" s="141"/>
      <c r="M35" s="128"/>
      <c r="N35" s="128"/>
      <c r="O35" s="114" t="s">
        <v>122</v>
      </c>
      <c r="P35" s="147">
        <v>0.44</v>
      </c>
      <c r="Q35" s="153">
        <v>0.44</v>
      </c>
    </row>
    <row r="36" spans="1:17">
      <c r="A36" s="137" t="s">
        <v>129</v>
      </c>
      <c r="B36" s="135">
        <f t="shared" ref="B36:I36" si="8">B19*B23*2*B30*B35</f>
        <v>29854.17423549</v>
      </c>
      <c r="C36" s="135">
        <f t="shared" si="8"/>
        <v>25850.1346488</v>
      </c>
      <c r="D36" s="135">
        <f t="shared" si="8"/>
        <v>25408.720048932</v>
      </c>
      <c r="E36" s="135">
        <f t="shared" si="8"/>
        <v>21907.37965482</v>
      </c>
      <c r="F36" s="135">
        <f t="shared" si="8"/>
        <v>25408.720048932</v>
      </c>
      <c r="G36" s="135">
        <f t="shared" si="8"/>
        <v>25408.720048932</v>
      </c>
      <c r="H36" s="135">
        <f t="shared" si="8"/>
        <v>52470.4949588437</v>
      </c>
      <c r="I36" s="135"/>
      <c r="J36" s="141"/>
      <c r="K36" s="141"/>
      <c r="L36" s="141"/>
      <c r="M36" s="128"/>
      <c r="N36" s="128"/>
      <c r="O36" s="114" t="s">
        <v>123</v>
      </c>
      <c r="P36" s="147">
        <v>1.73</v>
      </c>
      <c r="Q36" s="153">
        <v>1.73</v>
      </c>
    </row>
    <row r="37" spans="1:17">
      <c r="A37" s="137" t="s">
        <v>130</v>
      </c>
      <c r="B37" s="135">
        <f t="shared" ref="B37:I37" si="9">B34*(1-B29)</f>
        <v>22.0374</v>
      </c>
      <c r="C37" s="135">
        <f t="shared" si="9"/>
        <v>23.6115</v>
      </c>
      <c r="D37" s="135">
        <f t="shared" si="9"/>
        <v>22.0374</v>
      </c>
      <c r="E37" s="135">
        <f t="shared" si="9"/>
        <v>23.6115</v>
      </c>
      <c r="F37" s="135">
        <f t="shared" si="9"/>
        <v>22.0374</v>
      </c>
      <c r="G37" s="135">
        <f t="shared" si="9"/>
        <v>22.0374</v>
      </c>
      <c r="H37" s="135">
        <f t="shared" si="9"/>
        <v>38.7320472</v>
      </c>
      <c r="I37" s="135"/>
      <c r="J37" s="141"/>
      <c r="K37" s="141"/>
      <c r="L37" s="141"/>
      <c r="M37" s="128"/>
      <c r="N37" s="128"/>
      <c r="O37" s="118" t="s">
        <v>126</v>
      </c>
      <c r="P37" s="147">
        <f>P32*0.14</f>
        <v>138.6</v>
      </c>
      <c r="Q37" s="153">
        <f>Q32*0.0795</f>
        <v>78.705</v>
      </c>
    </row>
    <row r="38" spans="1:17">
      <c r="A38" s="137" t="s">
        <v>131</v>
      </c>
      <c r="B38" s="135">
        <f t="shared" ref="B38:I38" si="10">B19*B23*2*B37</f>
        <v>21963.133962</v>
      </c>
      <c r="C38" s="135">
        <f t="shared" si="10"/>
        <v>23080.477365</v>
      </c>
      <c r="D38" s="135">
        <f t="shared" si="10"/>
        <v>20467.3233996</v>
      </c>
      <c r="E38" s="135">
        <f t="shared" si="10"/>
        <v>21477.823191</v>
      </c>
      <c r="F38" s="135">
        <f t="shared" si="10"/>
        <v>20467.3233996</v>
      </c>
      <c r="G38" s="135">
        <f t="shared" si="10"/>
        <v>20467.3233996</v>
      </c>
      <c r="H38" s="135">
        <f t="shared" si="10"/>
        <v>38601.520200936</v>
      </c>
      <c r="I38" s="135"/>
      <c r="J38" s="141"/>
      <c r="K38" s="141"/>
      <c r="L38" s="141"/>
      <c r="M38" s="128"/>
      <c r="N38" s="128"/>
      <c r="O38" s="118" t="s">
        <v>127</v>
      </c>
      <c r="P38" s="147">
        <f>P37*P34</f>
        <v>69.3</v>
      </c>
      <c r="Q38" s="153">
        <f>Q37*Q34</f>
        <v>39.3525</v>
      </c>
    </row>
    <row r="39" spans="1:17">
      <c r="A39" s="137" t="s">
        <v>132</v>
      </c>
      <c r="B39" s="135">
        <f t="shared" ref="B39:I39" si="11">B33*(1-B28)</f>
        <v>39.3525</v>
      </c>
      <c r="C39" s="135">
        <f t="shared" si="11"/>
        <v>39.3525</v>
      </c>
      <c r="D39" s="135">
        <f t="shared" si="11"/>
        <v>39.3525</v>
      </c>
      <c r="E39" s="135">
        <f t="shared" si="11"/>
        <v>39.3525</v>
      </c>
      <c r="F39" s="135">
        <f t="shared" si="11"/>
        <v>39.3525</v>
      </c>
      <c r="G39" s="135">
        <f t="shared" si="11"/>
        <v>39.3525</v>
      </c>
      <c r="H39" s="135">
        <f t="shared" si="11"/>
        <v>69.16437</v>
      </c>
      <c r="I39" s="135"/>
      <c r="J39" s="141"/>
      <c r="K39" s="141"/>
      <c r="L39" s="141"/>
      <c r="M39" s="128"/>
      <c r="N39" s="128"/>
      <c r="O39" s="118" t="s">
        <v>128</v>
      </c>
      <c r="P39" s="147">
        <f>P38*P35</f>
        <v>30.492</v>
      </c>
      <c r="Q39" s="153">
        <f>Q38*Q35</f>
        <v>17.3151</v>
      </c>
    </row>
    <row r="40" spans="1:17">
      <c r="A40" s="137" t="s">
        <v>133</v>
      </c>
      <c r="B40" s="135">
        <f t="shared" ref="B40:I40" si="12">B39*B29</f>
        <v>17.3151</v>
      </c>
      <c r="C40" s="135">
        <f t="shared" si="12"/>
        <v>15.741</v>
      </c>
      <c r="D40" s="135">
        <f t="shared" si="12"/>
        <v>17.3151</v>
      </c>
      <c r="E40" s="135">
        <f t="shared" si="12"/>
        <v>15.741</v>
      </c>
      <c r="F40" s="135">
        <f t="shared" si="12"/>
        <v>17.3151</v>
      </c>
      <c r="G40" s="135">
        <f t="shared" si="12"/>
        <v>17.3151</v>
      </c>
      <c r="H40" s="135">
        <f t="shared" si="12"/>
        <v>30.4323228</v>
      </c>
      <c r="I40" s="135"/>
      <c r="J40" s="141"/>
      <c r="K40" s="141"/>
      <c r="L40" s="141"/>
      <c r="M40" s="128"/>
      <c r="N40" s="128"/>
      <c r="O40" s="118" t="s">
        <v>129</v>
      </c>
      <c r="P40" s="147">
        <f>P25*2*P36*P39</f>
        <v>43994.46744</v>
      </c>
      <c r="Q40" s="153">
        <f>Q25*2*Q36*Q39</f>
        <v>24982.572582</v>
      </c>
    </row>
    <row r="41" spans="1:17">
      <c r="A41" s="137" t="s">
        <v>134</v>
      </c>
      <c r="B41" s="135">
        <f t="shared" ref="B41:I41" si="13">B20*B23*2*B30*B40</f>
        <v>17182.2585528</v>
      </c>
      <c r="C41" s="135">
        <f t="shared" si="13"/>
        <v>14915.9701152</v>
      </c>
      <c r="D41" s="135">
        <f t="shared" si="13"/>
        <v>15156.308047716</v>
      </c>
      <c r="E41" s="135">
        <f t="shared" si="13"/>
        <v>13112.19412866</v>
      </c>
      <c r="F41" s="135">
        <f t="shared" si="13"/>
        <v>15156.308047716</v>
      </c>
      <c r="G41" s="135">
        <f t="shared" si="13"/>
        <v>15156.308047716</v>
      </c>
      <c r="H41" s="135">
        <f t="shared" si="13"/>
        <v>30198.8460194784</v>
      </c>
      <c r="I41" s="135"/>
      <c r="J41" s="141"/>
      <c r="K41" s="141"/>
      <c r="L41" s="141"/>
      <c r="M41" s="128"/>
      <c r="N41" s="128"/>
      <c r="O41" s="118" t="s">
        <v>130</v>
      </c>
      <c r="P41" s="147">
        <f>P38-P39</f>
        <v>38.808</v>
      </c>
      <c r="Q41" s="153">
        <f>Q38-Q39</f>
        <v>22.0374</v>
      </c>
    </row>
    <row r="42" spans="1:17">
      <c r="A42" s="137" t="s">
        <v>135</v>
      </c>
      <c r="B42" s="135">
        <f t="shared" ref="B42:I42" si="14">B39*(1-B29)</f>
        <v>22.0374</v>
      </c>
      <c r="C42" s="135">
        <f t="shared" si="14"/>
        <v>23.6115</v>
      </c>
      <c r="D42" s="135">
        <f t="shared" si="14"/>
        <v>22.0374</v>
      </c>
      <c r="E42" s="135">
        <f t="shared" si="14"/>
        <v>23.6115</v>
      </c>
      <c r="F42" s="135">
        <f t="shared" si="14"/>
        <v>22.0374</v>
      </c>
      <c r="G42" s="135">
        <f t="shared" si="14"/>
        <v>22.0374</v>
      </c>
      <c r="H42" s="135">
        <f t="shared" si="14"/>
        <v>38.7320472</v>
      </c>
      <c r="I42" s="135"/>
      <c r="J42" s="141"/>
      <c r="K42" s="141"/>
      <c r="L42" s="141"/>
      <c r="M42" s="128"/>
      <c r="N42" s="128"/>
      <c r="O42" s="118" t="s">
        <v>131</v>
      </c>
      <c r="P42" s="147">
        <f>P25*2*P41</f>
        <v>32365.872</v>
      </c>
      <c r="Q42" s="153">
        <f>Q25*2*Q41</f>
        <v>18379.1916</v>
      </c>
    </row>
    <row r="43" spans="1:17">
      <c r="A43" s="137" t="s">
        <v>136</v>
      </c>
      <c r="B43" s="135">
        <f t="shared" ref="B43:I43" si="15">B20*B23*2*B42</f>
        <v>12640.65264</v>
      </c>
      <c r="C43" s="135">
        <f t="shared" si="15"/>
        <v>13317.83046</v>
      </c>
      <c r="D43" s="135">
        <f t="shared" si="15"/>
        <v>12208.7636748</v>
      </c>
      <c r="E43" s="135">
        <f t="shared" si="15"/>
        <v>12855.092283</v>
      </c>
      <c r="F43" s="135">
        <f t="shared" si="15"/>
        <v>12208.7636748</v>
      </c>
      <c r="G43" s="135">
        <f t="shared" si="15"/>
        <v>12208.7636748</v>
      </c>
      <c r="H43" s="135">
        <f t="shared" si="15"/>
        <v>22216.70227392</v>
      </c>
      <c r="I43" s="135"/>
      <c r="J43" s="141"/>
      <c r="K43" s="141"/>
      <c r="L43" s="141"/>
      <c r="M43" s="128"/>
      <c r="N43" s="128"/>
      <c r="O43" s="118" t="s">
        <v>132</v>
      </c>
      <c r="P43" s="147">
        <f>P37-P38</f>
        <v>69.3</v>
      </c>
      <c r="Q43" s="153">
        <f>Q37-Q38</f>
        <v>39.3525</v>
      </c>
    </row>
    <row r="44" spans="1:17">
      <c r="A44" s="137" t="s">
        <v>137</v>
      </c>
      <c r="B44" s="135">
        <f t="shared" ref="B44:I44" si="16">SUM(B36,B38,B41,B43)</f>
        <v>81640.21939029</v>
      </c>
      <c r="C44" s="135">
        <f t="shared" si="16"/>
        <v>77164.412589</v>
      </c>
      <c r="D44" s="135">
        <f t="shared" si="16"/>
        <v>73241.115171048</v>
      </c>
      <c r="E44" s="135">
        <f t="shared" si="16"/>
        <v>69352.48925748</v>
      </c>
      <c r="F44" s="135">
        <f t="shared" si="16"/>
        <v>73241.115171048</v>
      </c>
      <c r="G44" s="135">
        <f t="shared" si="16"/>
        <v>73241.115171048</v>
      </c>
      <c r="H44" s="135">
        <f t="shared" si="16"/>
        <v>143487.563453178</v>
      </c>
      <c r="I44" s="135"/>
      <c r="J44" s="141"/>
      <c r="K44" s="141"/>
      <c r="L44" s="141"/>
      <c r="M44" s="128"/>
      <c r="N44" s="128"/>
      <c r="O44" s="118" t="s">
        <v>133</v>
      </c>
      <c r="P44" s="147">
        <f>P43*P35</f>
        <v>30.492</v>
      </c>
      <c r="Q44" s="153">
        <f>Q43*Q35</f>
        <v>17.3151</v>
      </c>
    </row>
    <row r="45" spans="1:17">
      <c r="A45" s="138" t="s">
        <v>138</v>
      </c>
      <c r="B45" s="135">
        <v>57.5142857142857</v>
      </c>
      <c r="C45" s="135">
        <v>57.5142857142857</v>
      </c>
      <c r="D45" s="135">
        <v>57.5142857142857</v>
      </c>
      <c r="E45" s="135">
        <v>57.5142857142857</v>
      </c>
      <c r="F45" s="135">
        <v>57.5142857142857</v>
      </c>
      <c r="G45" s="135">
        <v>57.5142857142857</v>
      </c>
      <c r="H45" s="135"/>
      <c r="I45" s="135"/>
      <c r="J45" s="141"/>
      <c r="K45" s="141"/>
      <c r="L45" s="141"/>
      <c r="M45" s="128"/>
      <c r="N45" s="128"/>
      <c r="O45" s="118" t="s">
        <v>134</v>
      </c>
      <c r="P45" s="147">
        <f>P26*2*P36*P44</f>
        <v>25320.5568</v>
      </c>
      <c r="Q45" s="153">
        <f>Q26*2*Q36*Q44</f>
        <v>14378.45904</v>
      </c>
    </row>
    <row r="46" spans="1:17">
      <c r="A46" s="138" t="s">
        <v>127</v>
      </c>
      <c r="B46" s="135">
        <f t="shared" ref="B46:G46" si="17">B45*B28</f>
        <v>28.7571428571428</v>
      </c>
      <c r="C46" s="135">
        <f t="shared" si="17"/>
        <v>28.7571428571428</v>
      </c>
      <c r="D46" s="135">
        <f t="shared" si="17"/>
        <v>28.7571428571428</v>
      </c>
      <c r="E46" s="135">
        <f t="shared" si="17"/>
        <v>28.7571428571428</v>
      </c>
      <c r="F46" s="135">
        <f t="shared" si="17"/>
        <v>28.7571428571428</v>
      </c>
      <c r="G46" s="135">
        <f t="shared" si="17"/>
        <v>28.7571428571428</v>
      </c>
      <c r="H46" s="135"/>
      <c r="I46" s="135"/>
      <c r="J46" s="141"/>
      <c r="K46" s="141"/>
      <c r="L46" s="141"/>
      <c r="M46" s="128"/>
      <c r="N46" s="128"/>
      <c r="O46" s="118" t="s">
        <v>135</v>
      </c>
      <c r="P46" s="147">
        <f>P43-P44</f>
        <v>38.808</v>
      </c>
      <c r="Q46" s="153">
        <f>Q43-Q44</f>
        <v>22.0374</v>
      </c>
    </row>
    <row r="47" spans="1:17">
      <c r="A47" s="138" t="s">
        <v>128</v>
      </c>
      <c r="B47" s="135">
        <f t="shared" ref="B47:G47" si="18">B46*B29</f>
        <v>12.6531428571429</v>
      </c>
      <c r="C47" s="135">
        <f t="shared" si="18"/>
        <v>11.5028571428571</v>
      </c>
      <c r="D47" s="135">
        <f t="shared" si="18"/>
        <v>12.6531428571429</v>
      </c>
      <c r="E47" s="135">
        <f t="shared" si="18"/>
        <v>11.5028571428571</v>
      </c>
      <c r="F47" s="135">
        <f t="shared" si="18"/>
        <v>12.6531428571429</v>
      </c>
      <c r="G47" s="135">
        <f t="shared" si="18"/>
        <v>12.6531428571429</v>
      </c>
      <c r="H47" s="135"/>
      <c r="I47" s="135"/>
      <c r="J47" s="141"/>
      <c r="K47" s="141"/>
      <c r="L47" s="141"/>
      <c r="M47" s="128"/>
      <c r="N47" s="128"/>
      <c r="O47" s="118" t="s">
        <v>136</v>
      </c>
      <c r="P47" s="147">
        <f>P26*2*P46</f>
        <v>18627.84</v>
      </c>
      <c r="Q47" s="153">
        <f>Q26*2*Q46</f>
        <v>10577.952</v>
      </c>
    </row>
    <row r="48" spans="1:17">
      <c r="A48" s="138" t="s">
        <v>129</v>
      </c>
      <c r="B48" s="135">
        <f>B19*B23*3*B30*B47</f>
        <v>32724.2520820286</v>
      </c>
      <c r="C48" s="135">
        <f>C19*C23*3*C30*C47*1.4</f>
        <v>39669.3890208</v>
      </c>
      <c r="D48" s="135">
        <f>D19*D23*4.6*D30*D47</f>
        <v>42705.5216875131</v>
      </c>
      <c r="E48" s="135">
        <f>E19*E23*4.6*E30*E47*1.4</f>
        <v>51548.936948784</v>
      </c>
      <c r="F48" s="135">
        <f>F19*F23*5.4*F30*F47</f>
        <v>50132.5689375154</v>
      </c>
      <c r="G48" s="135">
        <f>G19*G23*4.2*G30*G47</f>
        <v>38991.998062512</v>
      </c>
      <c r="H48" s="135"/>
      <c r="I48" s="135"/>
      <c r="J48" s="141"/>
      <c r="K48" s="141"/>
      <c r="L48" s="141"/>
      <c r="M48" s="128"/>
      <c r="N48" s="128"/>
      <c r="O48" s="118" t="s">
        <v>137</v>
      </c>
      <c r="P48" s="147">
        <f>SUM(P40,P42,P45,P47)</f>
        <v>120308.73624</v>
      </c>
      <c r="Q48" s="153">
        <f>SUM(Q40,Q42,Q45,Q47)</f>
        <v>68318.175222</v>
      </c>
    </row>
    <row r="49" spans="1:17">
      <c r="A49" s="138" t="s">
        <v>130</v>
      </c>
      <c r="B49" s="135">
        <f t="shared" ref="B49:G49" si="19">B46*(1-B29)</f>
        <v>16.104</v>
      </c>
      <c r="C49" s="135">
        <f t="shared" si="19"/>
        <v>17.2542857142857</v>
      </c>
      <c r="D49" s="135">
        <f t="shared" si="19"/>
        <v>16.104</v>
      </c>
      <c r="E49" s="135">
        <f t="shared" si="19"/>
        <v>17.2542857142857</v>
      </c>
      <c r="F49" s="135">
        <f t="shared" si="19"/>
        <v>16.104</v>
      </c>
      <c r="G49" s="135">
        <f t="shared" si="19"/>
        <v>16.104</v>
      </c>
      <c r="H49" s="135"/>
      <c r="I49" s="135"/>
      <c r="J49" s="141"/>
      <c r="K49" s="141"/>
      <c r="L49" s="141"/>
      <c r="M49" s="128"/>
      <c r="N49" s="128"/>
      <c r="O49" s="148" t="s">
        <v>124</v>
      </c>
      <c r="P49" s="147"/>
      <c r="Q49" s="153">
        <f>Q32*0.1753</f>
        <v>173.547</v>
      </c>
    </row>
    <row r="50" spans="1:17">
      <c r="A50" s="138" t="s">
        <v>131</v>
      </c>
      <c r="B50" s="135">
        <f>B19*B23*3*B49</f>
        <v>24074.59428</v>
      </c>
      <c r="C50" s="135">
        <f>C19*C23*3*C49*1.4</f>
        <v>35419.09734</v>
      </c>
      <c r="D50" s="135">
        <f>D19*D23*4.6*D49</f>
        <v>34400.3051568</v>
      </c>
      <c r="E50" s="135">
        <f>E19*E23*4.6*E49*1.4</f>
        <v>50538.1734792</v>
      </c>
      <c r="F50" s="135">
        <f>F19*F23*5.4*F49</f>
        <v>40382.9669232</v>
      </c>
      <c r="G50" s="135">
        <f>G19*G23*4.2*G49</f>
        <v>31408.9742736</v>
      </c>
      <c r="H50" s="135"/>
      <c r="I50" s="135"/>
      <c r="J50" s="141"/>
      <c r="K50" s="141"/>
      <c r="L50" s="141"/>
      <c r="M50" s="128"/>
      <c r="N50" s="128"/>
      <c r="O50" s="148" t="s">
        <v>125</v>
      </c>
      <c r="P50" s="147"/>
      <c r="Q50" s="153">
        <f>Q25*1.2*Q49</f>
        <v>86842.9188</v>
      </c>
    </row>
    <row r="51" spans="1:17">
      <c r="A51" s="138" t="s">
        <v>132</v>
      </c>
      <c r="B51" s="135">
        <f t="shared" ref="B51:G51" si="20">B45-B46</f>
        <v>28.7571428571428</v>
      </c>
      <c r="C51" s="135">
        <f t="shared" si="20"/>
        <v>28.7571428571428</v>
      </c>
      <c r="D51" s="135">
        <f t="shared" si="20"/>
        <v>28.7571428571428</v>
      </c>
      <c r="E51" s="135">
        <f t="shared" si="20"/>
        <v>28.7571428571428</v>
      </c>
      <c r="F51" s="135">
        <f t="shared" si="20"/>
        <v>28.7571428571428</v>
      </c>
      <c r="G51" s="135">
        <f t="shared" si="20"/>
        <v>28.7571428571428</v>
      </c>
      <c r="H51" s="135"/>
      <c r="I51" s="135"/>
      <c r="J51" s="141"/>
      <c r="K51" s="141"/>
      <c r="L51" s="141"/>
      <c r="M51" s="128"/>
      <c r="N51" s="128"/>
      <c r="O51" s="121" t="s">
        <v>139</v>
      </c>
      <c r="P51" s="149">
        <f>P32-P37</f>
        <v>851.4</v>
      </c>
      <c r="Q51" s="154">
        <f>Q32-Q37-Q49</f>
        <v>737.748</v>
      </c>
    </row>
    <row r="52" spans="1:17">
      <c r="A52" s="138" t="s">
        <v>133</v>
      </c>
      <c r="B52" s="135">
        <f t="shared" ref="B52:G52" si="21">B51*B29</f>
        <v>12.6531428571429</v>
      </c>
      <c r="C52" s="135">
        <f t="shared" si="21"/>
        <v>11.5028571428571</v>
      </c>
      <c r="D52" s="135">
        <f t="shared" si="21"/>
        <v>12.6531428571429</v>
      </c>
      <c r="E52" s="135">
        <f t="shared" si="21"/>
        <v>11.5028571428571</v>
      </c>
      <c r="F52" s="135">
        <f t="shared" si="21"/>
        <v>12.6531428571429</v>
      </c>
      <c r="G52" s="135">
        <f t="shared" si="21"/>
        <v>12.6531428571429</v>
      </c>
      <c r="H52" s="135"/>
      <c r="I52" s="135"/>
      <c r="J52" s="141"/>
      <c r="K52" s="141"/>
      <c r="L52" s="141"/>
      <c r="M52" s="128"/>
      <c r="N52" s="128"/>
      <c r="O52" s="121" t="s">
        <v>127</v>
      </c>
      <c r="P52" s="149">
        <f>P51*P34</f>
        <v>425.7</v>
      </c>
      <c r="Q52" s="154">
        <f>Q51*Q34</f>
        <v>368.874</v>
      </c>
    </row>
    <row r="53" spans="1:17">
      <c r="A53" s="138" t="s">
        <v>134</v>
      </c>
      <c r="B53" s="135">
        <f>B20*B23*3*B30*B52</f>
        <v>18834.1019177143</v>
      </c>
      <c r="C53" s="135">
        <f>C20*C23*3*C30*C52*1.4</f>
        <v>22889.9164032</v>
      </c>
      <c r="D53" s="135">
        <f>D20*D23*4.6*D30*D52</f>
        <v>25473.8546761851</v>
      </c>
      <c r="E53" s="135">
        <f>E20*E23*4.6*E30*E52*1.4</f>
        <v>30853.515073392</v>
      </c>
      <c r="F53" s="135">
        <f>F20*F23*5.4*F30*F52</f>
        <v>29904.0902720434</v>
      </c>
      <c r="G53" s="135">
        <f>G20*G23*4.2*G30*G52</f>
        <v>23258.736878256</v>
      </c>
      <c r="H53" s="135"/>
      <c r="I53" s="135"/>
      <c r="J53" s="141"/>
      <c r="K53" s="141"/>
      <c r="L53" s="141"/>
      <c r="M53" s="128"/>
      <c r="N53" s="128"/>
      <c r="O53" s="121" t="s">
        <v>128</v>
      </c>
      <c r="P53" s="149">
        <f>P52*P35</f>
        <v>187.308</v>
      </c>
      <c r="Q53" s="154">
        <f>Q52*Q35</f>
        <v>162.30456</v>
      </c>
    </row>
    <row r="54" spans="1:17">
      <c r="A54" s="138" t="s">
        <v>135</v>
      </c>
      <c r="B54" s="135">
        <f t="shared" ref="B54:G54" si="22">B51-B52</f>
        <v>16.104</v>
      </c>
      <c r="C54" s="135">
        <f t="shared" si="22"/>
        <v>17.2542857142857</v>
      </c>
      <c r="D54" s="135">
        <f t="shared" si="22"/>
        <v>16.104</v>
      </c>
      <c r="E54" s="135">
        <f t="shared" si="22"/>
        <v>17.2542857142857</v>
      </c>
      <c r="F54" s="135">
        <f t="shared" si="22"/>
        <v>16.104</v>
      </c>
      <c r="G54" s="135">
        <f t="shared" si="22"/>
        <v>16.104</v>
      </c>
      <c r="H54" s="135"/>
      <c r="I54" s="135"/>
      <c r="J54" s="141"/>
      <c r="K54" s="141"/>
      <c r="L54" s="141"/>
      <c r="M54" s="128"/>
      <c r="N54" s="128"/>
      <c r="O54" s="121" t="s">
        <v>129</v>
      </c>
      <c r="P54" s="149">
        <f>P25*1.2*P36*P53</f>
        <v>162151.037136</v>
      </c>
      <c r="Q54" s="154">
        <f>Q25*1.2*Q36*Q53</f>
        <v>140505.75915552</v>
      </c>
    </row>
    <row r="55" spans="1:17">
      <c r="A55" s="138" t="s">
        <v>136</v>
      </c>
      <c r="B55" s="135">
        <f>B20*B23*3*B54</f>
        <v>13855.8816</v>
      </c>
      <c r="C55" s="135">
        <f>C20*C23*3*C54*1.4</f>
        <v>20437.42536</v>
      </c>
      <c r="D55" s="135">
        <f>D20*D23*4.6*D54</f>
        <v>20519.7908784</v>
      </c>
      <c r="E55" s="135">
        <f>E20*E23*4.6*E54*1.4</f>
        <v>30248.5441896</v>
      </c>
      <c r="F55" s="135">
        <f>F20*F23*5.4*F54</f>
        <v>24088.4501616</v>
      </c>
      <c r="G55" s="135">
        <f>G20*G23*4.2*G54</f>
        <v>18735.4612368</v>
      </c>
      <c r="H55" s="135"/>
      <c r="I55" s="135"/>
      <c r="J55" s="141"/>
      <c r="K55" s="141"/>
      <c r="L55" s="141"/>
      <c r="M55" s="128"/>
      <c r="N55" s="128"/>
      <c r="O55" s="121" t="s">
        <v>130</v>
      </c>
      <c r="P55" s="149">
        <f>P52-P53</f>
        <v>238.392</v>
      </c>
      <c r="Q55" s="154">
        <f>Q52-Q53</f>
        <v>206.56944</v>
      </c>
    </row>
    <row r="56" spans="1:17">
      <c r="A56" s="138" t="s">
        <v>140</v>
      </c>
      <c r="B56" s="135">
        <f t="shared" ref="B56:G56" si="23">SUM(B48,B50,B53,B55)</f>
        <v>89488.8298797428</v>
      </c>
      <c r="C56" s="135">
        <f t="shared" si="23"/>
        <v>118415.828124</v>
      </c>
      <c r="D56" s="135">
        <f t="shared" si="23"/>
        <v>123099.472398898</v>
      </c>
      <c r="E56" s="135">
        <f t="shared" si="23"/>
        <v>163189.169690976</v>
      </c>
      <c r="F56" s="135">
        <f t="shared" si="23"/>
        <v>144508.076294359</v>
      </c>
      <c r="G56" s="135">
        <f t="shared" si="23"/>
        <v>112395.170451168</v>
      </c>
      <c r="H56" s="135"/>
      <c r="I56" s="135"/>
      <c r="J56" s="141"/>
      <c r="K56" s="141"/>
      <c r="L56" s="141"/>
      <c r="M56" s="128"/>
      <c r="N56" s="128"/>
      <c r="O56" s="121" t="s">
        <v>131</v>
      </c>
      <c r="P56" s="149">
        <f>P25*1.2*P55</f>
        <v>119291.3568</v>
      </c>
      <c r="Q56" s="154">
        <f>Q25*1.2*Q55</f>
        <v>103367.347776</v>
      </c>
    </row>
    <row r="57" spans="1:17">
      <c r="A57" s="139" t="s">
        <v>141</v>
      </c>
      <c r="B57" s="135">
        <v>48.5480769230769</v>
      </c>
      <c r="C57" s="135">
        <v>48.5480769230769</v>
      </c>
      <c r="D57" s="135">
        <v>48.5480769230769</v>
      </c>
      <c r="E57" s="135">
        <v>48.5480769230769</v>
      </c>
      <c r="F57" s="135">
        <v>48.5480769230769</v>
      </c>
      <c r="G57" s="135">
        <v>48.5480769230769</v>
      </c>
      <c r="H57" s="135">
        <v>49.5480769230769</v>
      </c>
      <c r="I57" s="135"/>
      <c r="J57" s="141"/>
      <c r="K57" s="141"/>
      <c r="L57" s="141"/>
      <c r="M57" s="128"/>
      <c r="N57" s="128"/>
      <c r="O57" s="121" t="s">
        <v>132</v>
      </c>
      <c r="P57" s="149">
        <f>P51-P52</f>
        <v>425.7</v>
      </c>
      <c r="Q57" s="154">
        <f>Q51-Q52</f>
        <v>368.874</v>
      </c>
    </row>
    <row r="58" spans="1:17">
      <c r="A58" s="139" t="s">
        <v>127</v>
      </c>
      <c r="B58" s="135">
        <f t="shared" ref="B58:I58" si="24">B57*B28</f>
        <v>24.2740384615384</v>
      </c>
      <c r="C58" s="135">
        <f t="shared" si="24"/>
        <v>24.2740384615384</v>
      </c>
      <c r="D58" s="135">
        <f t="shared" si="24"/>
        <v>24.2740384615384</v>
      </c>
      <c r="E58" s="135">
        <f t="shared" si="24"/>
        <v>24.2740384615384</v>
      </c>
      <c r="F58" s="135">
        <f t="shared" si="24"/>
        <v>24.2740384615384</v>
      </c>
      <c r="G58" s="135">
        <f t="shared" si="24"/>
        <v>24.2740384615384</v>
      </c>
      <c r="H58" s="135">
        <f t="shared" si="24"/>
        <v>24.7740384615384</v>
      </c>
      <c r="I58" s="135"/>
      <c r="J58" s="141"/>
      <c r="K58" s="141"/>
      <c r="L58" s="141"/>
      <c r="M58" s="128"/>
      <c r="N58" s="128"/>
      <c r="O58" s="121" t="s">
        <v>133</v>
      </c>
      <c r="P58" s="149">
        <f>P57*P35</f>
        <v>187.308</v>
      </c>
      <c r="Q58" s="154">
        <f>Q57*Q35</f>
        <v>162.30456</v>
      </c>
    </row>
    <row r="59" spans="1:17">
      <c r="A59" s="139" t="s">
        <v>128</v>
      </c>
      <c r="B59" s="135">
        <f t="shared" ref="B59:I59" si="25">B58*B29</f>
        <v>10.6805769230769</v>
      </c>
      <c r="C59" s="135">
        <f t="shared" si="25"/>
        <v>9.70961538461538</v>
      </c>
      <c r="D59" s="135">
        <f t="shared" si="25"/>
        <v>10.6805769230769</v>
      </c>
      <c r="E59" s="135">
        <f t="shared" si="25"/>
        <v>9.70961538461538</v>
      </c>
      <c r="F59" s="135">
        <f t="shared" si="25"/>
        <v>10.6805769230769</v>
      </c>
      <c r="G59" s="135">
        <f t="shared" si="25"/>
        <v>10.6805769230769</v>
      </c>
      <c r="H59" s="135">
        <f t="shared" si="25"/>
        <v>10.9005769230769</v>
      </c>
      <c r="I59" s="135"/>
      <c r="J59" s="141"/>
      <c r="K59" s="141"/>
      <c r="L59" s="141"/>
      <c r="M59" s="128"/>
      <c r="N59" s="128"/>
      <c r="O59" s="121" t="s">
        <v>134</v>
      </c>
      <c r="P59" s="149">
        <f>P26*1.2*P36*P58</f>
        <v>93324.33792</v>
      </c>
      <c r="Q59" s="154">
        <f>Q26*1.2*Q36*Q58</f>
        <v>80866.6239744</v>
      </c>
    </row>
    <row r="60" spans="1:17">
      <c r="A60" s="139" t="s">
        <v>129</v>
      </c>
      <c r="B60" s="135">
        <f>B19*B23*B30*3*B59</f>
        <v>27622.6938681058</v>
      </c>
      <c r="C60" s="135">
        <f>C19*C23*C30*3*C59</f>
        <v>23917.9402592308</v>
      </c>
      <c r="D60" s="135">
        <f>D19*D23*D30*4.6*D59</f>
        <v>36047.9301129623</v>
      </c>
      <c r="E60" s="135">
        <f>E19*E23*E30*4.6*E59</f>
        <v>31080.4987120269</v>
      </c>
      <c r="F60" s="135">
        <f>F19*F23*F30*5.4*F59</f>
        <v>42317.1353499992</v>
      </c>
      <c r="G60" s="135">
        <f>G19*G23*G30*4.2*G59</f>
        <v>32913.3274944438</v>
      </c>
      <c r="H60" s="135">
        <f>H19*H23*H30*3*H59</f>
        <v>28191.6699351058</v>
      </c>
      <c r="I60" s="135"/>
      <c r="J60" s="141"/>
      <c r="K60" s="141"/>
      <c r="L60" s="141"/>
      <c r="M60" s="128"/>
      <c r="N60" s="128"/>
      <c r="O60" s="121" t="s">
        <v>135</v>
      </c>
      <c r="P60" s="149">
        <f>P57-P58</f>
        <v>238.392</v>
      </c>
      <c r="Q60" s="154">
        <f>Q57-Q58</f>
        <v>206.56944</v>
      </c>
    </row>
    <row r="61" spans="1:17">
      <c r="A61" s="139" t="s">
        <v>130</v>
      </c>
      <c r="B61" s="135">
        <f t="shared" ref="B61:I61" si="26">B58-B59</f>
        <v>13.5934615384615</v>
      </c>
      <c r="C61" s="135">
        <f t="shared" si="26"/>
        <v>14.5644230769231</v>
      </c>
      <c r="D61" s="135">
        <f t="shared" si="26"/>
        <v>13.5934615384615</v>
      </c>
      <c r="E61" s="135">
        <f t="shared" si="26"/>
        <v>14.5644230769231</v>
      </c>
      <c r="F61" s="135">
        <f t="shared" si="26"/>
        <v>13.5934615384615</v>
      </c>
      <c r="G61" s="135">
        <f t="shared" si="26"/>
        <v>13.5934615384615</v>
      </c>
      <c r="H61" s="135">
        <f t="shared" si="26"/>
        <v>13.8734615384615</v>
      </c>
      <c r="I61" s="135"/>
      <c r="J61" s="141"/>
      <c r="K61" s="141"/>
      <c r="L61" s="141"/>
      <c r="M61" s="128"/>
      <c r="N61" s="128"/>
      <c r="O61" s="121" t="s">
        <v>136</v>
      </c>
      <c r="P61" s="149">
        <f>P26*1.2*P60</f>
        <v>68656.896</v>
      </c>
      <c r="Q61" s="154">
        <f>Q26*1.2*Q60</f>
        <v>59491.99872</v>
      </c>
    </row>
    <row r="62" spans="1:17">
      <c r="A62" s="139" t="s">
        <v>131</v>
      </c>
      <c r="B62" s="135">
        <f>B19*B23*3*B61</f>
        <v>20321.4773596154</v>
      </c>
      <c r="C62" s="135">
        <f>C19*C23*3*C61</f>
        <v>21355.3038028846</v>
      </c>
      <c r="D62" s="135">
        <f>D19*D23*4.6*D61</f>
        <v>29037.4580886923</v>
      </c>
      <c r="E62" s="135">
        <f>E19*E23*4.6*E61</f>
        <v>30471.0771686538</v>
      </c>
      <c r="F62" s="135">
        <f>F19*F23*5.4*F61</f>
        <v>34087.4507997692</v>
      </c>
      <c r="G62" s="135">
        <f>G19*G23*4.2*G61</f>
        <v>26512.4617331538</v>
      </c>
      <c r="H62" s="135">
        <f>H19*H23*3*H61</f>
        <v>20740.0619596154</v>
      </c>
      <c r="I62" s="135"/>
      <c r="J62" s="141"/>
      <c r="K62" s="141"/>
      <c r="L62" s="141"/>
      <c r="M62" s="128"/>
      <c r="N62" s="128"/>
      <c r="O62" s="121" t="s">
        <v>142</v>
      </c>
      <c r="P62" s="149">
        <f>SUM(P54,P56,P59,P61)</f>
        <v>443423.627856</v>
      </c>
      <c r="Q62" s="154">
        <f>SUM(Q54,Q56,Q59,Q61)</f>
        <v>384231.72962592</v>
      </c>
    </row>
    <row r="63" spans="1:17">
      <c r="A63" s="139" t="s">
        <v>132</v>
      </c>
      <c r="B63" s="135">
        <f t="shared" ref="B63:I63" si="27">B57-B58</f>
        <v>24.2740384615384</v>
      </c>
      <c r="C63" s="135">
        <f t="shared" si="27"/>
        <v>24.2740384615384</v>
      </c>
      <c r="D63" s="135">
        <f t="shared" si="27"/>
        <v>24.2740384615384</v>
      </c>
      <c r="E63" s="135">
        <f t="shared" si="27"/>
        <v>24.2740384615384</v>
      </c>
      <c r="F63" s="135">
        <f t="shared" si="27"/>
        <v>24.2740384615384</v>
      </c>
      <c r="G63" s="135">
        <f t="shared" si="27"/>
        <v>24.2740384615384</v>
      </c>
      <c r="H63" s="135">
        <f t="shared" si="27"/>
        <v>24.7740384615384</v>
      </c>
      <c r="I63" s="135"/>
      <c r="J63" s="141"/>
      <c r="K63" s="141"/>
      <c r="L63" s="141"/>
      <c r="M63" s="128"/>
      <c r="N63" s="128"/>
      <c r="O63" s="122" t="s">
        <v>143</v>
      </c>
      <c r="P63" s="150">
        <f>P48+P62</f>
        <v>563732.364096</v>
      </c>
      <c r="Q63" s="155">
        <f>Q48+Q62+Q50</f>
        <v>539392.82364792</v>
      </c>
    </row>
    <row r="64" spans="1:14">
      <c r="A64" s="139" t="s">
        <v>133</v>
      </c>
      <c r="B64" s="135">
        <f t="shared" ref="B64:I64" si="28">B63*B29</f>
        <v>10.6805769230769</v>
      </c>
      <c r="C64" s="135">
        <f t="shared" si="28"/>
        <v>9.70961538461538</v>
      </c>
      <c r="D64" s="135">
        <f t="shared" si="28"/>
        <v>10.6805769230769</v>
      </c>
      <c r="E64" s="135">
        <f t="shared" si="28"/>
        <v>9.70961538461538</v>
      </c>
      <c r="F64" s="135">
        <f t="shared" si="28"/>
        <v>10.6805769230769</v>
      </c>
      <c r="G64" s="135">
        <f t="shared" si="28"/>
        <v>10.6805769230769</v>
      </c>
      <c r="H64" s="135">
        <f t="shared" si="28"/>
        <v>10.9005769230769</v>
      </c>
      <c r="I64" s="135"/>
      <c r="J64" s="141"/>
      <c r="K64" s="141"/>
      <c r="L64" s="141"/>
      <c r="M64" s="128"/>
      <c r="N64" s="128"/>
    </row>
    <row r="65" spans="1:14">
      <c r="A65" s="139" t="s">
        <v>134</v>
      </c>
      <c r="B65" s="135">
        <f>B20*B23*3*B30*B64</f>
        <v>15897.9533053846</v>
      </c>
      <c r="C65" s="135">
        <f>C20*C23*3*C30*C64</f>
        <v>13801.0608830769</v>
      </c>
      <c r="D65" s="135">
        <f>D20*D23*4.6*D30*D64</f>
        <v>21502.5995887408</v>
      </c>
      <c r="E65" s="135">
        <f>E20*E23*4.6*E30*E64</f>
        <v>18602.5685932731</v>
      </c>
      <c r="F65" s="135">
        <f>F20*F23*5.4*F30*F64</f>
        <v>25242.1821259131</v>
      </c>
      <c r="G65" s="135">
        <f>G20*G23*4.2*G30*G64</f>
        <v>19632.8083201546</v>
      </c>
      <c r="H65" s="135">
        <f>H20*H23*3*H30*H64</f>
        <v>16225.4215453846</v>
      </c>
      <c r="I65" s="135"/>
      <c r="J65" s="141"/>
      <c r="K65" s="141"/>
      <c r="L65" s="141"/>
      <c r="M65" s="128"/>
      <c r="N65" s="128"/>
    </row>
    <row r="66" spans="1:16">
      <c r="A66" s="139" t="s">
        <v>135</v>
      </c>
      <c r="B66" s="135">
        <f t="shared" ref="B66:I66" si="29">B63-B64</f>
        <v>13.5934615384615</v>
      </c>
      <c r="C66" s="135">
        <f t="shared" si="29"/>
        <v>14.5644230769231</v>
      </c>
      <c r="D66" s="135">
        <f t="shared" si="29"/>
        <v>13.5934615384615</v>
      </c>
      <c r="E66" s="135">
        <f t="shared" si="29"/>
        <v>14.5644230769231</v>
      </c>
      <c r="F66" s="135">
        <f t="shared" si="29"/>
        <v>13.5934615384615</v>
      </c>
      <c r="G66" s="135">
        <f t="shared" si="29"/>
        <v>13.5934615384615</v>
      </c>
      <c r="H66" s="135">
        <f t="shared" si="29"/>
        <v>13.8734615384615</v>
      </c>
      <c r="I66" s="135"/>
      <c r="J66" s="141"/>
      <c r="K66" s="141"/>
      <c r="L66" s="141"/>
      <c r="M66" s="128"/>
      <c r="N66" s="128"/>
      <c r="O66" s="10" t="s">
        <v>144</v>
      </c>
      <c r="P66" s="10"/>
    </row>
    <row r="67" spans="1:21">
      <c r="A67" s="139" t="s">
        <v>136</v>
      </c>
      <c r="B67" s="135">
        <f>B20*3*B66</f>
        <v>9787.2923076923</v>
      </c>
      <c r="C67" s="135">
        <f>C20*3*C66</f>
        <v>10311.6115384615</v>
      </c>
      <c r="D67" s="135">
        <f>D20*4.6*D66</f>
        <v>14494.4361692308</v>
      </c>
      <c r="E67" s="135">
        <f>E20*4.6*E66</f>
        <v>15261.7676538461</v>
      </c>
      <c r="F67" s="135">
        <f>F20*5.4*F66</f>
        <v>17015.2076769231</v>
      </c>
      <c r="G67" s="135">
        <f>G20*4.2*G66</f>
        <v>13234.0504153846</v>
      </c>
      <c r="H67" s="135">
        <f>H20*3*H66</f>
        <v>9988.8923076923</v>
      </c>
      <c r="I67" s="135"/>
      <c r="J67" s="141"/>
      <c r="K67" s="141"/>
      <c r="L67" s="141"/>
      <c r="M67" s="128"/>
      <c r="N67" s="128"/>
      <c r="O67" s="1"/>
      <c r="P67" t="s">
        <v>145</v>
      </c>
      <c r="Q67" t="s">
        <v>124</v>
      </c>
      <c r="R67" t="s">
        <v>146</v>
      </c>
      <c r="S67" t="s">
        <v>147</v>
      </c>
      <c r="T67" t="s">
        <v>148</v>
      </c>
      <c r="U67" t="s">
        <v>149</v>
      </c>
    </row>
    <row r="68" spans="1:21">
      <c r="A68" s="139" t="s">
        <v>150</v>
      </c>
      <c r="B68" s="135">
        <f t="shared" ref="B68:I68" si="30">SUM(B60,B62,B65,B67)</f>
        <v>73629.416840798</v>
      </c>
      <c r="C68" s="135">
        <f t="shared" si="30"/>
        <v>69385.9164836538</v>
      </c>
      <c r="D68" s="135">
        <f t="shared" si="30"/>
        <v>101082.423959626</v>
      </c>
      <c r="E68" s="135">
        <f t="shared" si="30"/>
        <v>95415.9121277999</v>
      </c>
      <c r="F68" s="135">
        <f t="shared" si="30"/>
        <v>118661.975952605</v>
      </c>
      <c r="G68" s="135">
        <f t="shared" si="30"/>
        <v>92292.6479631369</v>
      </c>
      <c r="H68" s="135">
        <f t="shared" si="30"/>
        <v>75146.045747798</v>
      </c>
      <c r="I68" s="135"/>
      <c r="J68" s="141"/>
      <c r="K68" s="141"/>
      <c r="L68" s="141"/>
      <c r="M68" s="128"/>
      <c r="N68" s="128"/>
      <c r="O68" s="10" t="s">
        <v>151</v>
      </c>
      <c r="P68" s="24">
        <f>攻速!$C$10*60*10</f>
        <v>730</v>
      </c>
      <c r="Q68" s="24">
        <v>128</v>
      </c>
      <c r="R68" s="24">
        <f t="shared" ref="R68:R72" si="31">Q68/P68</f>
        <v>0.175342465753425</v>
      </c>
      <c r="S68" s="24">
        <v>58</v>
      </c>
      <c r="T68" s="24">
        <f t="shared" ref="T68:T72" si="32">S68/P68</f>
        <v>0.0794520547945206</v>
      </c>
      <c r="U68" t="s">
        <v>152</v>
      </c>
    </row>
    <row r="69" spans="1:20">
      <c r="A69" s="156" t="s">
        <v>139</v>
      </c>
      <c r="B69" s="135">
        <f t="shared" ref="B69:I69" si="33">B26-B31-B33-B45-B57</f>
        <v>631.685637362637</v>
      </c>
      <c r="C69" s="135">
        <f t="shared" si="33"/>
        <v>631.685637362637</v>
      </c>
      <c r="D69" s="135">
        <f t="shared" si="33"/>
        <v>631.685637362637</v>
      </c>
      <c r="E69" s="135">
        <f t="shared" si="33"/>
        <v>631.685637362637</v>
      </c>
      <c r="F69" s="135">
        <f t="shared" si="33"/>
        <v>631.685637362637</v>
      </c>
      <c r="G69" s="135">
        <f t="shared" si="33"/>
        <v>631.685637362637</v>
      </c>
      <c r="H69" s="135">
        <f t="shared" si="33"/>
        <v>802.123183076923</v>
      </c>
      <c r="I69" s="135"/>
      <c r="J69" s="141"/>
      <c r="K69" s="141"/>
      <c r="L69" s="141"/>
      <c r="M69" s="128"/>
      <c r="N69" s="128"/>
      <c r="O69" s="10" t="s">
        <v>153</v>
      </c>
      <c r="P69" s="24">
        <f>攻速!$C$10*60*10</f>
        <v>730</v>
      </c>
      <c r="Q69" s="24">
        <v>0</v>
      </c>
      <c r="R69" s="24">
        <f t="shared" si="31"/>
        <v>0</v>
      </c>
      <c r="S69" s="24">
        <v>102</v>
      </c>
      <c r="T69" s="24">
        <f t="shared" si="32"/>
        <v>0.13972602739726</v>
      </c>
    </row>
    <row r="70" spans="1:20">
      <c r="A70" s="156" t="s">
        <v>127</v>
      </c>
      <c r="B70" s="135">
        <f t="shared" ref="B70:I70" si="34">B69*B28</f>
        <v>315.842818681319</v>
      </c>
      <c r="C70" s="135">
        <f t="shared" si="34"/>
        <v>315.842818681319</v>
      </c>
      <c r="D70" s="135">
        <f t="shared" si="34"/>
        <v>315.842818681319</v>
      </c>
      <c r="E70" s="135">
        <f t="shared" si="34"/>
        <v>315.842818681319</v>
      </c>
      <c r="F70" s="135">
        <f t="shared" si="34"/>
        <v>315.842818681319</v>
      </c>
      <c r="G70" s="135">
        <f t="shared" si="34"/>
        <v>315.842818681319</v>
      </c>
      <c r="H70" s="135">
        <f t="shared" si="34"/>
        <v>401.061591538462</v>
      </c>
      <c r="I70" s="135"/>
      <c r="J70" s="141"/>
      <c r="K70" s="141"/>
      <c r="L70" s="141"/>
      <c r="M70" s="128"/>
      <c r="N70" s="128"/>
      <c r="O70" s="10" t="s">
        <v>151</v>
      </c>
      <c r="P70" s="24">
        <f>攻速!$C$10*60*10</f>
        <v>730</v>
      </c>
      <c r="Q70" s="24">
        <v>142</v>
      </c>
      <c r="R70" s="24">
        <f t="shared" si="31"/>
        <v>0.194520547945205</v>
      </c>
      <c r="S70" s="24">
        <v>66</v>
      </c>
      <c r="T70" s="24">
        <f t="shared" si="32"/>
        <v>0.0904109589041096</v>
      </c>
    </row>
    <row r="71" spans="1:21">
      <c r="A71" s="156" t="s">
        <v>128</v>
      </c>
      <c r="B71" s="135">
        <f t="shared" ref="B71:I71" si="35">B70*B29</f>
        <v>138.97084021978</v>
      </c>
      <c r="C71" s="135">
        <f t="shared" si="35"/>
        <v>126.337127472527</v>
      </c>
      <c r="D71" s="135">
        <f t="shared" si="35"/>
        <v>138.97084021978</v>
      </c>
      <c r="E71" s="135">
        <f t="shared" si="35"/>
        <v>126.337127472527</v>
      </c>
      <c r="F71" s="135">
        <f t="shared" si="35"/>
        <v>138.97084021978</v>
      </c>
      <c r="G71" s="135">
        <f t="shared" si="35"/>
        <v>138.97084021978</v>
      </c>
      <c r="H71" s="135">
        <f t="shared" si="35"/>
        <v>176.467100276923</v>
      </c>
      <c r="I71" s="135"/>
      <c r="J71" s="141"/>
      <c r="K71" s="141"/>
      <c r="L71" s="141"/>
      <c r="M71" s="128"/>
      <c r="N71" s="128"/>
      <c r="O71" s="10" t="s">
        <v>154</v>
      </c>
      <c r="P71" s="24">
        <f>攻速!$C$10*60*10</f>
        <v>730</v>
      </c>
      <c r="Q71" s="24">
        <v>148</v>
      </c>
      <c r="R71" s="24">
        <f t="shared" si="31"/>
        <v>0.202739726027397</v>
      </c>
      <c r="S71" s="24">
        <v>80</v>
      </c>
      <c r="T71" s="24">
        <f t="shared" si="32"/>
        <v>0.10958904109589</v>
      </c>
      <c r="U71" t="s">
        <v>155</v>
      </c>
    </row>
    <row r="72" spans="1:20">
      <c r="A72" s="156" t="s">
        <v>129</v>
      </c>
      <c r="B72" s="135">
        <f t="shared" ref="B72:G72" si="36">B19*B23*B30*B71</f>
        <v>119804.669842327</v>
      </c>
      <c r="C72" s="135">
        <f t="shared" si="36"/>
        <v>103736.476599563</v>
      </c>
      <c r="D72" s="135">
        <f t="shared" si="36"/>
        <v>101965.081752611</v>
      </c>
      <c r="E72" s="135">
        <f t="shared" si="36"/>
        <v>87914.218157679</v>
      </c>
      <c r="F72" s="135">
        <f t="shared" si="36"/>
        <v>101965.081752611</v>
      </c>
      <c r="G72" s="135">
        <f t="shared" si="36"/>
        <v>101965.081752611</v>
      </c>
      <c r="H72" s="135">
        <f>H19*H23*H30*H71*1.2</f>
        <v>182555.557582651</v>
      </c>
      <c r="I72" s="135"/>
      <c r="J72" s="141"/>
      <c r="K72" s="141"/>
      <c r="L72" s="141"/>
      <c r="M72" s="128"/>
      <c r="N72" s="128"/>
      <c r="O72" s="10" t="s">
        <v>154</v>
      </c>
      <c r="P72" s="24">
        <f>攻速!$C$10*60*10</f>
        <v>730</v>
      </c>
      <c r="Q72" s="24">
        <v>141</v>
      </c>
      <c r="R72" s="24">
        <f t="shared" si="31"/>
        <v>0.193150684931507</v>
      </c>
      <c r="S72" s="24">
        <v>65</v>
      </c>
      <c r="T72" s="24">
        <f t="shared" si="32"/>
        <v>0.089041095890411</v>
      </c>
    </row>
    <row r="73" spans="1:20">
      <c r="A73" s="156" t="s">
        <v>130</v>
      </c>
      <c r="B73" s="135">
        <f t="shared" ref="B73:I73" si="37">B70-B71</f>
        <v>176.871978461538</v>
      </c>
      <c r="C73" s="135">
        <f t="shared" si="37"/>
        <v>189.505691208791</v>
      </c>
      <c r="D73" s="135">
        <f t="shared" si="37"/>
        <v>176.871978461538</v>
      </c>
      <c r="E73" s="135">
        <f t="shared" si="37"/>
        <v>189.505691208791</v>
      </c>
      <c r="F73" s="135">
        <f t="shared" si="37"/>
        <v>176.871978461538</v>
      </c>
      <c r="G73" s="135">
        <f t="shared" si="37"/>
        <v>176.871978461538</v>
      </c>
      <c r="H73" s="135">
        <f t="shared" si="37"/>
        <v>224.594491261538</v>
      </c>
      <c r="I73" s="135"/>
      <c r="J73" s="141"/>
      <c r="K73" s="141"/>
      <c r="L73" s="141"/>
      <c r="M73" s="128"/>
      <c r="N73" s="128"/>
      <c r="O73" s="10"/>
      <c r="P73" s="24"/>
      <c r="Q73" s="24"/>
      <c r="R73" s="24"/>
      <c r="S73" s="24"/>
      <c r="T73" s="24"/>
    </row>
    <row r="74" spans="1:20">
      <c r="A74" s="156" t="s">
        <v>131</v>
      </c>
      <c r="B74" s="135">
        <f t="shared" ref="B74:G74" si="38">B19*B23*B73</f>
        <v>88137.9599470615</v>
      </c>
      <c r="C74" s="135">
        <f t="shared" si="38"/>
        <v>92621.8541067527</v>
      </c>
      <c r="D74" s="135">
        <f t="shared" si="38"/>
        <v>82135.2787420338</v>
      </c>
      <c r="E74" s="135">
        <f t="shared" si="38"/>
        <v>86190.4099585088</v>
      </c>
      <c r="F74" s="135">
        <f t="shared" si="38"/>
        <v>82135.2787420338</v>
      </c>
      <c r="G74" s="135">
        <f t="shared" si="38"/>
        <v>82135.2787420338</v>
      </c>
      <c r="H74" s="135">
        <f>H19*H23*H73*1.2</f>
        <v>134302.564695592</v>
      </c>
      <c r="I74" s="135"/>
      <c r="J74" s="141"/>
      <c r="K74" s="141"/>
      <c r="L74" s="141"/>
      <c r="M74" s="128"/>
      <c r="N74" s="128"/>
      <c r="O74" s="10" t="s">
        <v>156</v>
      </c>
      <c r="P74" s="24"/>
      <c r="Q74" s="24"/>
      <c r="R74" s="24"/>
      <c r="S74" s="24"/>
      <c r="T74" s="24"/>
    </row>
    <row r="75" spans="1:20">
      <c r="A75" s="156" t="s">
        <v>132</v>
      </c>
      <c r="B75" s="135">
        <f t="shared" ref="B75:I75" si="39">B69-B70</f>
        <v>315.842818681319</v>
      </c>
      <c r="C75" s="135">
        <f t="shared" si="39"/>
        <v>315.842818681319</v>
      </c>
      <c r="D75" s="135">
        <f t="shared" si="39"/>
        <v>315.842818681319</v>
      </c>
      <c r="E75" s="135">
        <f t="shared" si="39"/>
        <v>315.842818681319</v>
      </c>
      <c r="F75" s="135">
        <f t="shared" si="39"/>
        <v>315.842818681319</v>
      </c>
      <c r="G75" s="135">
        <f t="shared" si="39"/>
        <v>315.842818681319</v>
      </c>
      <c r="H75" s="135">
        <f t="shared" si="39"/>
        <v>401.061591538462</v>
      </c>
      <c r="I75" s="135"/>
      <c r="J75" s="141"/>
      <c r="K75" s="141"/>
      <c r="L75" s="141"/>
      <c r="M75" s="128"/>
      <c r="N75" s="128"/>
      <c r="O75" s="10" t="s">
        <v>157</v>
      </c>
      <c r="P75" s="24">
        <f>攻速!$B$15*10</f>
        <v>970</v>
      </c>
      <c r="Q75" s="24">
        <v>0</v>
      </c>
      <c r="R75" s="24">
        <f>Q75/P75</f>
        <v>0</v>
      </c>
      <c r="S75" s="24">
        <v>134</v>
      </c>
      <c r="T75" s="24">
        <f>S75/P75</f>
        <v>0.138144329896907</v>
      </c>
    </row>
    <row r="76" spans="1:20">
      <c r="A76" s="156" t="s">
        <v>133</v>
      </c>
      <c r="B76" s="135">
        <f t="shared" ref="B76:I76" si="40">B75*B29</f>
        <v>138.97084021978</v>
      </c>
      <c r="C76" s="135">
        <f t="shared" si="40"/>
        <v>126.337127472527</v>
      </c>
      <c r="D76" s="135">
        <f t="shared" si="40"/>
        <v>138.97084021978</v>
      </c>
      <c r="E76" s="135">
        <f t="shared" si="40"/>
        <v>126.337127472527</v>
      </c>
      <c r="F76" s="135">
        <f t="shared" si="40"/>
        <v>138.97084021978</v>
      </c>
      <c r="G76" s="135">
        <f t="shared" si="40"/>
        <v>138.97084021978</v>
      </c>
      <c r="H76" s="135">
        <f t="shared" si="40"/>
        <v>176.467100276923</v>
      </c>
      <c r="I76" s="135"/>
      <c r="J76" s="141"/>
      <c r="K76" s="141"/>
      <c r="L76" s="141"/>
      <c r="M76" s="128"/>
      <c r="N76" s="128"/>
      <c r="O76" s="10" t="s">
        <v>158</v>
      </c>
      <c r="P76" s="24">
        <f>攻速!$B$15*10</f>
        <v>970</v>
      </c>
      <c r="Q76" s="24">
        <v>0</v>
      </c>
      <c r="R76" s="24">
        <f>Q76/P76</f>
        <v>0</v>
      </c>
      <c r="S76" s="24">
        <v>136</v>
      </c>
      <c r="T76" s="24">
        <f>S76/P76</f>
        <v>0.14020618556701</v>
      </c>
    </row>
    <row r="77" spans="1:16">
      <c r="A77" s="156" t="s">
        <v>134</v>
      </c>
      <c r="B77" s="135">
        <f t="shared" ref="B77:G77" si="41">B20*B30*B76</f>
        <v>57700.6928592527</v>
      </c>
      <c r="C77" s="135">
        <f t="shared" si="41"/>
        <v>50090.1443003077</v>
      </c>
      <c r="D77" s="135">
        <f t="shared" si="41"/>
        <v>50897.2364054532</v>
      </c>
      <c r="E77" s="135">
        <f t="shared" si="41"/>
        <v>44032.7843865099</v>
      </c>
      <c r="F77" s="135">
        <f t="shared" si="41"/>
        <v>50897.2364054532</v>
      </c>
      <c r="G77" s="135">
        <f t="shared" si="41"/>
        <v>50897.2364054532</v>
      </c>
      <c r="H77" s="135">
        <f>H20*H30*H76*1.2</f>
        <v>87922.9680419741</v>
      </c>
      <c r="I77" s="135"/>
      <c r="J77" s="141"/>
      <c r="K77" s="141"/>
      <c r="L77" s="141"/>
      <c r="M77" s="128"/>
      <c r="N77" s="128"/>
      <c r="O77" s="10"/>
      <c r="P77" s="10"/>
    </row>
    <row r="78" spans="1:16">
      <c r="A78" s="156" t="s">
        <v>135</v>
      </c>
      <c r="B78" s="135">
        <f t="shared" ref="B78:I78" si="42">B75-B76</f>
        <v>176.871978461538</v>
      </c>
      <c r="C78" s="135">
        <f t="shared" si="42"/>
        <v>189.505691208791</v>
      </c>
      <c r="D78" s="135">
        <f t="shared" si="42"/>
        <v>176.871978461538</v>
      </c>
      <c r="E78" s="135">
        <f t="shared" si="42"/>
        <v>189.505691208791</v>
      </c>
      <c r="F78" s="135">
        <f t="shared" si="42"/>
        <v>176.871978461538</v>
      </c>
      <c r="G78" s="135">
        <f t="shared" si="42"/>
        <v>176.871978461538</v>
      </c>
      <c r="H78" s="135">
        <f t="shared" si="42"/>
        <v>224.594491261538</v>
      </c>
      <c r="I78" s="135"/>
      <c r="J78" s="141"/>
      <c r="K78" s="141"/>
      <c r="L78" s="141"/>
      <c r="M78" s="128"/>
      <c r="N78" s="128"/>
      <c r="O78" s="10"/>
      <c r="P78" s="10"/>
    </row>
    <row r="79" spans="1:19">
      <c r="A79" s="156" t="s">
        <v>136</v>
      </c>
      <c r="B79" s="135">
        <f t="shared" ref="B79:G79" si="43">B20*B78</f>
        <v>42449.2748307692</v>
      </c>
      <c r="C79" s="135">
        <f t="shared" si="43"/>
        <v>44723.3431252747</v>
      </c>
      <c r="D79" s="135">
        <f t="shared" si="43"/>
        <v>40998.9246073846</v>
      </c>
      <c r="E79" s="135">
        <f t="shared" si="43"/>
        <v>43169.3964573626</v>
      </c>
      <c r="F79" s="135">
        <f t="shared" si="43"/>
        <v>40998.9246073846</v>
      </c>
      <c r="G79" s="135">
        <f t="shared" si="43"/>
        <v>40998.9246073846</v>
      </c>
      <c r="H79" s="135">
        <f>H20*H78*1.2</f>
        <v>64683.2134833231</v>
      </c>
      <c r="I79" s="135"/>
      <c r="J79" s="141"/>
      <c r="K79" s="141"/>
      <c r="L79" s="141"/>
      <c r="M79" s="128"/>
      <c r="N79" s="128"/>
      <c r="O79" s="81" t="s">
        <v>159</v>
      </c>
      <c r="P79" s="81"/>
      <c r="Q79" s="81"/>
      <c r="R79" s="81"/>
      <c r="S79" s="81"/>
    </row>
    <row r="80" spans="1:19">
      <c r="A80" s="156" t="s">
        <v>142</v>
      </c>
      <c r="B80" s="135">
        <f t="shared" ref="B80:I80" si="44">B72+B74+B77+B79</f>
        <v>308092.597479411</v>
      </c>
      <c r="C80" s="135">
        <f t="shared" si="44"/>
        <v>291171.818131898</v>
      </c>
      <c r="D80" s="135">
        <f t="shared" si="44"/>
        <v>275996.521507482</v>
      </c>
      <c r="E80" s="135">
        <f t="shared" si="44"/>
        <v>261306.80896006</v>
      </c>
      <c r="F80" s="135">
        <f t="shared" si="44"/>
        <v>275996.521507482</v>
      </c>
      <c r="G80" s="135">
        <f t="shared" si="44"/>
        <v>275996.521507482</v>
      </c>
      <c r="H80" s="135">
        <f t="shared" si="44"/>
        <v>469464.303803541</v>
      </c>
      <c r="I80" s="135"/>
      <c r="J80" s="141"/>
      <c r="K80" s="141"/>
      <c r="L80" s="141"/>
      <c r="M80" s="128"/>
      <c r="N80" s="128"/>
      <c r="O80" s="81"/>
      <c r="P80" s="81"/>
      <c r="Q80" s="81"/>
      <c r="R80" s="81"/>
      <c r="S80" s="81"/>
    </row>
    <row r="81" spans="1:19">
      <c r="A81" s="157" t="s">
        <v>143</v>
      </c>
      <c r="B81" s="158">
        <f t="shared" ref="B81:I81" si="45">SUM(B32,B44,B56,B68,B80)</f>
        <v>656628.351556242</v>
      </c>
      <c r="C81" s="158">
        <f t="shared" si="45"/>
        <v>657924.332110552</v>
      </c>
      <c r="D81" s="158">
        <f t="shared" si="45"/>
        <v>670129.015299854</v>
      </c>
      <c r="E81" s="158">
        <f t="shared" si="45"/>
        <v>683982.931115116</v>
      </c>
      <c r="F81" s="158">
        <f t="shared" si="45"/>
        <v>709117.171188293</v>
      </c>
      <c r="G81" s="158">
        <f t="shared" si="45"/>
        <v>650634.937355635</v>
      </c>
      <c r="H81" s="158">
        <f t="shared" si="45"/>
        <v>688097.913004517</v>
      </c>
      <c r="I81" s="158"/>
      <c r="J81" s="141"/>
      <c r="K81" s="141"/>
      <c r="L81" s="141"/>
      <c r="M81" s="128"/>
      <c r="N81" s="128"/>
      <c r="O81" s="81"/>
      <c r="P81" s="81"/>
      <c r="Q81" s="81"/>
      <c r="R81" s="81"/>
      <c r="S81" s="81"/>
    </row>
    <row r="82" spans="2:19">
      <c r="B82" s="128"/>
      <c r="C82" s="128"/>
      <c r="D82" s="128"/>
      <c r="E82" s="128"/>
      <c r="F82" s="128"/>
      <c r="G82" s="128"/>
      <c r="H82" s="128"/>
      <c r="I82" s="128"/>
      <c r="J82" s="128"/>
      <c r="K82" s="128"/>
      <c r="L82" s="128"/>
      <c r="M82" s="128"/>
      <c r="N82" s="128"/>
      <c r="O82" s="81"/>
      <c r="P82" s="81"/>
      <c r="Q82" s="81"/>
      <c r="R82" s="81"/>
      <c r="S82" s="81"/>
    </row>
    <row r="83" spans="1:14">
      <c r="A83" s="1"/>
      <c r="B83" s="1"/>
      <c r="C83" s="1"/>
      <c r="D83" s="1"/>
      <c r="E83" s="1"/>
      <c r="F83" s="1"/>
      <c r="G83" s="1"/>
      <c r="H83" s="1"/>
      <c r="I83" s="1"/>
      <c r="J83" s="1"/>
      <c r="K83" s="1"/>
      <c r="L83" s="1"/>
      <c r="M83" s="1"/>
      <c r="N83" s="128"/>
    </row>
    <row r="84" spans="1:14">
      <c r="A84" s="159"/>
      <c r="B84" s="1"/>
      <c r="C84" s="1"/>
      <c r="D84" s="1"/>
      <c r="E84" s="1"/>
      <c r="F84" s="1"/>
      <c r="G84" s="1"/>
      <c r="H84" s="1"/>
      <c r="I84" s="1"/>
      <c r="J84" s="1"/>
      <c r="K84" s="1"/>
      <c r="L84" s="1"/>
      <c r="M84" s="1"/>
      <c r="N84" s="128"/>
    </row>
    <row r="85" spans="1:14">
      <c r="A85" s="159"/>
      <c r="B85" s="1"/>
      <c r="C85" s="1"/>
      <c r="D85" s="1"/>
      <c r="E85" s="1"/>
      <c r="F85" s="1"/>
      <c r="G85" s="1"/>
      <c r="H85" s="1"/>
      <c r="I85" s="1"/>
      <c r="J85" s="1"/>
      <c r="K85" s="1"/>
      <c r="L85" s="1"/>
      <c r="M85" s="1"/>
      <c r="N85" s="128"/>
    </row>
    <row r="86" spans="1:13">
      <c r="A86" s="159"/>
      <c r="B86" s="1"/>
      <c r="C86" s="1"/>
      <c r="D86" s="1"/>
      <c r="E86" s="1"/>
      <c r="F86" s="1"/>
      <c r="G86" s="1"/>
      <c r="H86" s="1"/>
      <c r="I86" s="1"/>
      <c r="J86" s="1"/>
      <c r="K86" s="1"/>
      <c r="L86" s="1"/>
      <c r="M86" s="1"/>
    </row>
    <row r="87" spans="1:13">
      <c r="A87" s="159"/>
      <c r="B87" s="160" t="s">
        <v>160</v>
      </c>
      <c r="C87" s="141"/>
      <c r="D87" s="141"/>
      <c r="E87" s="141"/>
      <c r="F87" s="141"/>
      <c r="G87" s="141"/>
      <c r="H87" s="141"/>
      <c r="I87" s="141"/>
      <c r="J87" s="141"/>
      <c r="K87" s="141"/>
      <c r="L87" s="141"/>
      <c r="M87" s="1"/>
    </row>
    <row r="88" spans="1:13">
      <c r="A88" s="159"/>
      <c r="B88" s="141"/>
      <c r="C88" s="141"/>
      <c r="D88" s="141"/>
      <c r="E88" s="141"/>
      <c r="F88" s="141"/>
      <c r="G88" s="141"/>
      <c r="H88" s="141"/>
      <c r="I88" s="141"/>
      <c r="J88" s="141"/>
      <c r="K88" s="141"/>
      <c r="L88" s="141"/>
      <c r="M88" s="1"/>
    </row>
    <row r="89" spans="1:13">
      <c r="A89" s="159"/>
      <c r="B89" s="141"/>
      <c r="C89" s="141"/>
      <c r="D89" s="141"/>
      <c r="E89" s="141"/>
      <c r="F89" s="141"/>
      <c r="G89" s="141"/>
      <c r="H89" s="141"/>
      <c r="I89" s="141"/>
      <c r="J89" s="141"/>
      <c r="K89" s="141"/>
      <c r="L89" s="141"/>
      <c r="M89" s="1"/>
    </row>
    <row r="90" spans="1:12">
      <c r="A90" s="159"/>
      <c r="B90" s="141"/>
      <c r="C90" s="141"/>
      <c r="D90" s="141"/>
      <c r="E90" s="141"/>
      <c r="F90" s="141"/>
      <c r="G90" s="141"/>
      <c r="H90" s="141"/>
      <c r="I90" s="141"/>
      <c r="J90" s="141"/>
      <c r="K90" s="141"/>
      <c r="L90" s="141"/>
    </row>
    <row r="91" spans="1:13">
      <c r="A91" s="159"/>
      <c r="B91" s="141"/>
      <c r="C91" s="141"/>
      <c r="D91" s="141"/>
      <c r="E91" s="141"/>
      <c r="F91" s="141"/>
      <c r="G91" s="141"/>
      <c r="H91" s="141"/>
      <c r="I91" s="141"/>
      <c r="J91" s="141"/>
      <c r="K91" s="141"/>
      <c r="L91" s="141"/>
      <c r="M91" s="128"/>
    </row>
    <row r="92" spans="1:12">
      <c r="A92" s="159"/>
      <c r="B92" s="141"/>
      <c r="C92" s="141"/>
      <c r="D92" s="141"/>
      <c r="E92" s="141"/>
      <c r="F92" s="141"/>
      <c r="G92" s="141"/>
      <c r="H92" s="141"/>
      <c r="I92" s="141"/>
      <c r="J92" s="141"/>
      <c r="K92" s="141"/>
      <c r="L92" s="141"/>
    </row>
    <row r="93" spans="1:12">
      <c r="A93" s="159"/>
      <c r="B93" s="141"/>
      <c r="C93" s="141"/>
      <c r="D93" s="141"/>
      <c r="E93" s="141"/>
      <c r="F93" s="141"/>
      <c r="G93" s="141"/>
      <c r="H93" s="141"/>
      <c r="I93" s="141"/>
      <c r="J93" s="141"/>
      <c r="K93" s="141"/>
      <c r="L93" s="141"/>
    </row>
    <row r="94" spans="1:12">
      <c r="A94" s="159"/>
      <c r="B94" s="141"/>
      <c r="C94" s="141"/>
      <c r="D94" s="141"/>
      <c r="E94" s="141"/>
      <c r="F94" s="141"/>
      <c r="G94" s="141"/>
      <c r="H94" s="141"/>
      <c r="I94" s="141"/>
      <c r="J94" s="141"/>
      <c r="K94" s="141"/>
      <c r="L94" s="141"/>
    </row>
    <row r="95" spans="1:12">
      <c r="A95" s="159"/>
      <c r="B95" s="141"/>
      <c r="C95" s="141"/>
      <c r="D95" s="141"/>
      <c r="E95" s="141"/>
      <c r="F95" s="141"/>
      <c r="G95" s="141"/>
      <c r="H95" s="141"/>
      <c r="I95" s="141"/>
      <c r="J95" s="141"/>
      <c r="K95" s="141"/>
      <c r="L95" s="141"/>
    </row>
    <row r="96" spans="1:12">
      <c r="A96" s="159"/>
      <c r="B96" s="141"/>
      <c r="C96" s="141"/>
      <c r="D96" s="141"/>
      <c r="E96" s="141"/>
      <c r="F96" s="141"/>
      <c r="G96" s="141"/>
      <c r="H96" s="141"/>
      <c r="I96" s="141"/>
      <c r="J96" s="141"/>
      <c r="K96" s="141"/>
      <c r="L96" s="141"/>
    </row>
  </sheetData>
  <mergeCells count="14">
    <mergeCell ref="A6:M6"/>
    <mergeCell ref="B7:M7"/>
    <mergeCell ref="B8:M8"/>
    <mergeCell ref="B9:M9"/>
    <mergeCell ref="B10:M10"/>
    <mergeCell ref="B11:M11"/>
    <mergeCell ref="B12:M12"/>
    <mergeCell ref="B13:M13"/>
    <mergeCell ref="B14:M14"/>
    <mergeCell ref="B87:H96"/>
    <mergeCell ref="N7:X17"/>
    <mergeCell ref="O20:Q21"/>
    <mergeCell ref="O79:S82"/>
    <mergeCell ref="B1:M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7"/>
  <sheetViews>
    <sheetView zoomScale="85" zoomScaleNormal="85" workbookViewId="0">
      <selection activeCell="H22" sqref="H22"/>
    </sheetView>
  </sheetViews>
  <sheetFormatPr defaultColWidth="9" defaultRowHeight="13.5"/>
  <cols>
    <col min="1" max="1" width="25.375" customWidth="1"/>
    <col min="2" max="2" width="15.125" customWidth="1"/>
    <col min="3" max="4" width="12.625" customWidth="1"/>
    <col min="5" max="7" width="12.625"/>
    <col min="8" max="8" width="11.5"/>
    <col min="9" max="9" width="12.625"/>
    <col min="10" max="10" width="12.625" customWidth="1"/>
    <col min="11" max="14" width="11.5"/>
    <col min="15" max="15" width="11.5" customWidth="1"/>
  </cols>
  <sheetData>
    <row r="1" spans="2:13">
      <c r="B1" s="107" t="s">
        <v>89</v>
      </c>
      <c r="C1" s="108"/>
      <c r="D1" s="108"/>
      <c r="E1" s="108"/>
      <c r="F1" s="108"/>
      <c r="G1" s="108"/>
      <c r="H1" s="108"/>
      <c r="I1" s="108"/>
      <c r="J1" s="108"/>
      <c r="K1" s="108"/>
      <c r="L1" s="108"/>
      <c r="M1" s="108"/>
    </row>
    <row r="2" spans="2:13">
      <c r="B2" s="108"/>
      <c r="C2" s="108"/>
      <c r="D2" s="108"/>
      <c r="E2" s="108"/>
      <c r="F2" s="108"/>
      <c r="G2" s="108"/>
      <c r="H2" s="108"/>
      <c r="I2" s="108"/>
      <c r="J2" s="108"/>
      <c r="K2" s="108"/>
      <c r="L2" s="108"/>
      <c r="M2" s="108"/>
    </row>
    <row r="3" spans="2:13">
      <c r="B3" s="108"/>
      <c r="C3" s="108"/>
      <c r="D3" s="108"/>
      <c r="E3" s="108"/>
      <c r="F3" s="108"/>
      <c r="G3" s="108"/>
      <c r="H3" s="108"/>
      <c r="I3" s="108"/>
      <c r="J3" s="108"/>
      <c r="K3" s="108"/>
      <c r="L3" s="108"/>
      <c r="M3" s="108"/>
    </row>
    <row r="6" spans="1:14">
      <c r="A6">
        <v>1</v>
      </c>
      <c r="B6" s="15" t="s">
        <v>161</v>
      </c>
      <c r="C6" s="15"/>
      <c r="D6" s="15"/>
      <c r="E6" s="15"/>
      <c r="F6" s="15"/>
      <c r="G6" s="15"/>
      <c r="H6" s="15"/>
      <c r="I6" s="15"/>
      <c r="J6" s="15"/>
      <c r="K6" s="15"/>
      <c r="L6" s="15"/>
      <c r="M6" s="15"/>
      <c r="N6" s="15"/>
    </row>
    <row r="7" spans="1:14">
      <c r="A7">
        <v>2</v>
      </c>
      <c r="B7" s="15" t="s">
        <v>162</v>
      </c>
      <c r="C7" s="15"/>
      <c r="D7" s="15"/>
      <c r="E7" s="15"/>
      <c r="F7" s="15"/>
      <c r="G7" s="15"/>
      <c r="H7" s="15"/>
      <c r="I7" s="15"/>
      <c r="J7" s="15"/>
      <c r="K7" s="15"/>
      <c r="L7" s="15"/>
      <c r="M7" s="15"/>
      <c r="N7" s="15"/>
    </row>
    <row r="8" spans="1:14">
      <c r="A8">
        <v>3</v>
      </c>
      <c r="B8" s="15" t="s">
        <v>163</v>
      </c>
      <c r="C8" s="15"/>
      <c r="D8" s="15"/>
      <c r="E8" s="15"/>
      <c r="F8" s="15"/>
      <c r="G8" s="15"/>
      <c r="H8" s="15"/>
      <c r="I8" s="15"/>
      <c r="J8" s="15"/>
      <c r="K8" s="15"/>
      <c r="L8" s="15"/>
      <c r="M8" s="15"/>
      <c r="N8" s="15"/>
    </row>
    <row r="9" spans="1:14">
      <c r="A9">
        <v>4</v>
      </c>
      <c r="B9" s="15" t="s">
        <v>161</v>
      </c>
      <c r="C9" s="15"/>
      <c r="D9" s="15"/>
      <c r="E9" s="15"/>
      <c r="F9" s="15"/>
      <c r="G9" s="15"/>
      <c r="H9" s="15"/>
      <c r="I9" s="15"/>
      <c r="J9" s="15"/>
      <c r="K9" s="15"/>
      <c r="L9" s="15"/>
      <c r="M9" s="15"/>
      <c r="N9" s="15"/>
    </row>
    <row r="10" spans="1:14">
      <c r="A10">
        <v>5</v>
      </c>
      <c r="B10" s="15" t="s">
        <v>162</v>
      </c>
      <c r="C10" s="15"/>
      <c r="D10" s="15"/>
      <c r="E10" s="15"/>
      <c r="F10" s="15"/>
      <c r="G10" s="15"/>
      <c r="H10" s="15"/>
      <c r="I10" s="15"/>
      <c r="J10" s="15"/>
      <c r="K10" s="15"/>
      <c r="L10" s="15"/>
      <c r="M10" s="15"/>
      <c r="N10" s="15"/>
    </row>
    <row r="11" spans="1:14">
      <c r="A11">
        <v>6</v>
      </c>
      <c r="B11" s="15" t="s">
        <v>163</v>
      </c>
      <c r="C11" s="15"/>
      <c r="D11" s="15"/>
      <c r="E11" s="15"/>
      <c r="F11" s="15"/>
      <c r="G11" s="15"/>
      <c r="H11" s="15"/>
      <c r="I11" s="15"/>
      <c r="J11" s="15"/>
      <c r="K11" s="15"/>
      <c r="L11" s="15"/>
      <c r="M11" s="15"/>
      <c r="N11" s="15"/>
    </row>
    <row r="12" spans="1:14">
      <c r="A12">
        <v>7</v>
      </c>
      <c r="B12" s="15" t="s">
        <v>164</v>
      </c>
      <c r="C12" s="15"/>
      <c r="D12" s="15"/>
      <c r="E12" s="15"/>
      <c r="F12" s="15"/>
      <c r="G12" s="15"/>
      <c r="H12" s="15"/>
      <c r="I12" s="15"/>
      <c r="J12" s="15"/>
      <c r="K12" s="15"/>
      <c r="L12" s="15"/>
      <c r="M12" s="15"/>
      <c r="N12" s="15"/>
    </row>
    <row r="13" spans="1:14">
      <c r="A13">
        <v>8</v>
      </c>
      <c r="B13" s="15" t="s">
        <v>165</v>
      </c>
      <c r="C13" s="15"/>
      <c r="D13" s="15"/>
      <c r="E13" s="15"/>
      <c r="F13" s="15"/>
      <c r="G13" s="15"/>
      <c r="H13" s="15"/>
      <c r="I13" s="15"/>
      <c r="J13" s="15"/>
      <c r="K13" s="15"/>
      <c r="L13" s="15"/>
      <c r="M13" s="15"/>
      <c r="N13" s="15"/>
    </row>
    <row r="14" spans="1:14">
      <c r="A14">
        <v>9</v>
      </c>
      <c r="B14" s="15" t="s">
        <v>166</v>
      </c>
      <c r="C14" s="15"/>
      <c r="D14" s="15"/>
      <c r="E14" s="15"/>
      <c r="F14" s="15"/>
      <c r="G14" s="15"/>
      <c r="H14" s="15"/>
      <c r="I14" s="15"/>
      <c r="J14" s="15"/>
      <c r="K14" s="15"/>
      <c r="L14" s="15"/>
      <c r="M14" s="15"/>
      <c r="N14" s="15"/>
    </row>
    <row r="15" spans="1:14">
      <c r="A15">
        <v>10</v>
      </c>
      <c r="B15" s="15" t="s">
        <v>167</v>
      </c>
      <c r="C15" s="15"/>
      <c r="D15" s="15"/>
      <c r="E15" s="15"/>
      <c r="F15" s="15"/>
      <c r="G15" s="15"/>
      <c r="H15" s="15"/>
      <c r="I15" s="15"/>
      <c r="J15" s="15"/>
      <c r="K15" s="15"/>
      <c r="L15" s="15"/>
      <c r="M15" s="15"/>
      <c r="N15" s="15"/>
    </row>
    <row r="16" spans="1:14">
      <c r="A16">
        <v>11</v>
      </c>
      <c r="B16" s="15" t="s">
        <v>168</v>
      </c>
      <c r="C16" s="15"/>
      <c r="D16" s="15"/>
      <c r="E16" s="15"/>
      <c r="F16" s="15"/>
      <c r="G16" s="15"/>
      <c r="H16" s="15"/>
      <c r="I16" s="15"/>
      <c r="J16" s="15"/>
      <c r="K16" s="15"/>
      <c r="L16" s="15"/>
      <c r="M16" s="15"/>
      <c r="N16" s="15"/>
    </row>
    <row r="17" spans="1:14">
      <c r="A17">
        <v>12</v>
      </c>
      <c r="B17" s="15" t="s">
        <v>169</v>
      </c>
      <c r="C17" s="15"/>
      <c r="D17" s="15"/>
      <c r="E17" s="15"/>
      <c r="F17" s="15"/>
      <c r="G17" s="15"/>
      <c r="H17" s="15"/>
      <c r="I17" s="15"/>
      <c r="J17" s="15"/>
      <c r="K17" s="15"/>
      <c r="L17" s="15"/>
      <c r="M17" s="15"/>
      <c r="N17" s="15"/>
    </row>
    <row r="18" spans="1:14">
      <c r="A18">
        <v>13</v>
      </c>
      <c r="B18" s="15" t="s">
        <v>170</v>
      </c>
      <c r="C18" s="15"/>
      <c r="D18" s="15"/>
      <c r="E18" s="15"/>
      <c r="F18" s="15"/>
      <c r="G18" s="15"/>
      <c r="H18" s="15"/>
      <c r="I18" s="15"/>
      <c r="J18" s="15"/>
      <c r="K18" s="15"/>
      <c r="L18" s="15"/>
      <c r="M18" s="15"/>
      <c r="N18" s="15"/>
    </row>
    <row r="19" spans="1:14">
      <c r="A19">
        <v>14</v>
      </c>
      <c r="B19" s="15" t="s">
        <v>171</v>
      </c>
      <c r="C19" s="15"/>
      <c r="D19" s="15"/>
      <c r="E19" s="15"/>
      <c r="F19" s="15"/>
      <c r="G19" s="15"/>
      <c r="H19" s="15"/>
      <c r="I19" s="15"/>
      <c r="J19" s="15"/>
      <c r="K19" s="15"/>
      <c r="L19" s="15"/>
      <c r="M19" s="15"/>
      <c r="N19" s="15"/>
    </row>
    <row r="20" spans="1:14">
      <c r="A20">
        <v>15</v>
      </c>
      <c r="B20" s="15"/>
      <c r="C20" s="15"/>
      <c r="D20" s="15"/>
      <c r="E20" s="15"/>
      <c r="F20" s="15"/>
      <c r="G20" s="15"/>
      <c r="H20" s="15"/>
      <c r="I20" s="15"/>
      <c r="J20" s="15"/>
      <c r="K20" s="15"/>
      <c r="L20" s="15"/>
      <c r="M20" s="15"/>
      <c r="N20" s="15"/>
    </row>
    <row r="21" spans="1:14">
      <c r="A21">
        <v>16</v>
      </c>
      <c r="B21" s="15"/>
      <c r="C21" s="15"/>
      <c r="D21" s="15"/>
      <c r="E21" s="15"/>
      <c r="F21" s="15"/>
      <c r="G21" s="15"/>
      <c r="H21" s="15"/>
      <c r="I21" s="15"/>
      <c r="J21" s="15"/>
      <c r="K21" s="15"/>
      <c r="L21" s="15"/>
      <c r="M21" s="15"/>
      <c r="N21" s="15"/>
    </row>
    <row r="22" spans="1:14">
      <c r="A22">
        <v>17</v>
      </c>
      <c r="B22" s="15"/>
      <c r="C22" s="15"/>
      <c r="D22" s="15"/>
      <c r="E22" s="15"/>
      <c r="F22" s="15"/>
      <c r="G22" s="15"/>
      <c r="H22" s="15"/>
      <c r="I22" s="15"/>
      <c r="J22" s="15"/>
      <c r="K22" s="15"/>
      <c r="L22" s="15"/>
      <c r="M22" s="15"/>
      <c r="N22" s="15"/>
    </row>
    <row r="23" spans="1:14">
      <c r="A23">
        <v>18</v>
      </c>
      <c r="B23" s="15"/>
      <c r="C23" s="15"/>
      <c r="D23" s="15"/>
      <c r="E23" s="15"/>
      <c r="F23" s="15"/>
      <c r="G23" s="15"/>
      <c r="H23" s="15"/>
      <c r="I23" s="15"/>
      <c r="J23" s="15"/>
      <c r="K23" s="15"/>
      <c r="L23" s="15"/>
      <c r="M23" s="15"/>
      <c r="N23" s="15"/>
    </row>
    <row r="24" spans="2:14">
      <c r="B24" s="15"/>
      <c r="C24" s="15"/>
      <c r="D24" s="15"/>
      <c r="E24" s="15"/>
      <c r="F24" s="15"/>
      <c r="G24" s="15"/>
      <c r="H24" s="15"/>
      <c r="I24" s="15"/>
      <c r="J24" s="15"/>
      <c r="K24" s="15"/>
      <c r="L24" s="15"/>
      <c r="M24" s="15"/>
      <c r="N24" s="15"/>
    </row>
    <row r="25" spans="2:14">
      <c r="B25" s="15"/>
      <c r="C25" s="15"/>
      <c r="D25" s="15"/>
      <c r="E25" s="15"/>
      <c r="F25" s="15"/>
      <c r="G25" s="15"/>
      <c r="H25" s="15"/>
      <c r="I25" s="15"/>
      <c r="J25" s="15"/>
      <c r="K25" s="15"/>
      <c r="L25" s="15"/>
      <c r="M25" s="15"/>
      <c r="N25" s="15"/>
    </row>
    <row r="26" ht="14.25" spans="13:14">
      <c r="M26" t="s">
        <v>172</v>
      </c>
      <c r="N26" t="s">
        <v>173</v>
      </c>
    </row>
    <row r="27" ht="14.25" spans="2:21">
      <c r="B27" s="109" t="s">
        <v>174</v>
      </c>
      <c r="C27" s="110"/>
      <c r="D27" s="111"/>
      <c r="E27" s="109" t="s">
        <v>175</v>
      </c>
      <c r="F27" s="110"/>
      <c r="G27" s="110"/>
      <c r="H27" s="110"/>
      <c r="I27" s="110"/>
      <c r="J27" s="110"/>
      <c r="K27" s="110"/>
      <c r="L27" s="110"/>
      <c r="M27" s="110"/>
      <c r="N27" s="110"/>
      <c r="O27" s="110"/>
      <c r="P27" s="110"/>
      <c r="Q27" s="110"/>
      <c r="R27" s="110"/>
      <c r="S27" s="110"/>
      <c r="T27" s="110"/>
      <c r="U27" s="111"/>
    </row>
    <row r="28" ht="14.25" spans="2:21">
      <c r="B28" s="13">
        <v>1</v>
      </c>
      <c r="C28" s="13">
        <v>2</v>
      </c>
      <c r="D28" s="13">
        <v>3</v>
      </c>
      <c r="E28" s="13">
        <v>4</v>
      </c>
      <c r="F28" s="13">
        <v>5</v>
      </c>
      <c r="G28" s="13">
        <v>6</v>
      </c>
      <c r="H28" s="13">
        <v>7</v>
      </c>
      <c r="I28" s="13">
        <v>8</v>
      </c>
      <c r="J28" s="13">
        <v>9</v>
      </c>
      <c r="K28" s="13">
        <v>10</v>
      </c>
      <c r="L28" s="13">
        <v>11</v>
      </c>
      <c r="M28" s="13">
        <v>12</v>
      </c>
      <c r="N28" s="13">
        <v>13</v>
      </c>
      <c r="O28" s="13">
        <v>14</v>
      </c>
      <c r="P28" s="13">
        <v>15</v>
      </c>
      <c r="Q28" s="13">
        <v>16</v>
      </c>
      <c r="R28" s="13">
        <v>17</v>
      </c>
      <c r="S28" s="13">
        <v>18</v>
      </c>
      <c r="T28" s="13">
        <v>19</v>
      </c>
      <c r="U28" s="13">
        <v>20</v>
      </c>
    </row>
    <row r="29" spans="1:21">
      <c r="A29" s="112" t="s">
        <v>176</v>
      </c>
      <c r="B29" s="113" t="s">
        <v>177</v>
      </c>
      <c r="C29" s="113" t="s">
        <v>177</v>
      </c>
      <c r="D29" s="113" t="s">
        <v>177</v>
      </c>
      <c r="E29" s="113" t="s">
        <v>177</v>
      </c>
      <c r="F29" s="113" t="s">
        <v>177</v>
      </c>
      <c r="G29" s="113" t="s">
        <v>177</v>
      </c>
      <c r="H29" s="113" t="s">
        <v>178</v>
      </c>
      <c r="I29" s="113" t="s">
        <v>177</v>
      </c>
      <c r="J29" s="113" t="s">
        <v>179</v>
      </c>
      <c r="K29" s="113" t="s">
        <v>177</v>
      </c>
      <c r="L29" s="113" t="s">
        <v>180</v>
      </c>
      <c r="M29" s="113" t="s">
        <v>180</v>
      </c>
      <c r="N29" s="113" t="s">
        <v>180</v>
      </c>
      <c r="O29" s="113" t="s">
        <v>177</v>
      </c>
      <c r="P29" s="113"/>
      <c r="Q29" s="113"/>
      <c r="R29" s="113"/>
      <c r="S29" s="113"/>
      <c r="T29" s="113"/>
      <c r="U29" s="113"/>
    </row>
    <row r="30" spans="1:21">
      <c r="A30" s="114" t="s">
        <v>181</v>
      </c>
      <c r="B30" s="115">
        <v>52</v>
      </c>
      <c r="C30" s="115">
        <v>52</v>
      </c>
      <c r="D30" s="115">
        <v>52</v>
      </c>
      <c r="E30" s="115">
        <v>52</v>
      </c>
      <c r="F30" s="115">
        <v>52</v>
      </c>
      <c r="G30" s="115">
        <v>52</v>
      </c>
      <c r="H30" s="115">
        <v>66</v>
      </c>
      <c r="I30" s="115">
        <v>52</v>
      </c>
      <c r="J30" s="115">
        <v>52</v>
      </c>
      <c r="K30" s="115">
        <v>52</v>
      </c>
      <c r="L30" s="115">
        <v>52</v>
      </c>
      <c r="M30" s="115">
        <v>52</v>
      </c>
      <c r="N30" s="115">
        <v>52</v>
      </c>
      <c r="O30" s="115">
        <v>52</v>
      </c>
      <c r="P30" s="115"/>
      <c r="Q30" s="115"/>
      <c r="R30" s="115"/>
      <c r="S30" s="115"/>
      <c r="T30" s="115"/>
      <c r="U30" s="115"/>
    </row>
    <row r="31" spans="1:21">
      <c r="A31" s="114" t="s">
        <v>182</v>
      </c>
      <c r="B31" s="115">
        <v>302</v>
      </c>
      <c r="C31" s="115">
        <v>302</v>
      </c>
      <c r="D31" s="115">
        <v>302</v>
      </c>
      <c r="E31" s="115">
        <v>302</v>
      </c>
      <c r="F31" s="115">
        <v>302</v>
      </c>
      <c r="G31" s="115">
        <v>302</v>
      </c>
      <c r="H31" s="115">
        <v>280</v>
      </c>
      <c r="I31" s="115">
        <v>302</v>
      </c>
      <c r="J31" s="115">
        <v>301</v>
      </c>
      <c r="K31" s="115">
        <v>302</v>
      </c>
      <c r="L31" s="115">
        <v>304</v>
      </c>
      <c r="M31" s="115">
        <v>304</v>
      </c>
      <c r="N31" s="115">
        <v>304</v>
      </c>
      <c r="O31" s="115">
        <v>302</v>
      </c>
      <c r="P31" s="115"/>
      <c r="Q31" s="115"/>
      <c r="R31" s="115"/>
      <c r="S31" s="115"/>
      <c r="T31" s="115"/>
      <c r="U31" s="115"/>
    </row>
    <row r="32" spans="1:21">
      <c r="A32" s="114" t="s">
        <v>183</v>
      </c>
      <c r="B32" s="115">
        <f t="shared" ref="B32:I32" si="0">AVERAGE(B30:B31)</f>
        <v>177</v>
      </c>
      <c r="C32" s="115">
        <f t="shared" si="0"/>
        <v>177</v>
      </c>
      <c r="D32" s="115">
        <f t="shared" si="0"/>
        <v>177</v>
      </c>
      <c r="E32" s="115">
        <f t="shared" si="0"/>
        <v>177</v>
      </c>
      <c r="F32" s="115">
        <f t="shared" si="0"/>
        <v>177</v>
      </c>
      <c r="G32" s="115">
        <f t="shared" si="0"/>
        <v>177</v>
      </c>
      <c r="H32" s="115">
        <f t="shared" si="0"/>
        <v>173</v>
      </c>
      <c r="I32" s="115">
        <f t="shared" si="0"/>
        <v>177</v>
      </c>
      <c r="J32" s="115">
        <f t="shared" ref="J32:U32" si="1">AVERAGE(J30:J31)</f>
        <v>176.5</v>
      </c>
      <c r="K32" s="115">
        <f t="shared" si="1"/>
        <v>177</v>
      </c>
      <c r="L32" s="115">
        <f t="shared" si="1"/>
        <v>178</v>
      </c>
      <c r="M32" s="115">
        <f t="shared" si="1"/>
        <v>178</v>
      </c>
      <c r="N32" s="115">
        <f t="shared" si="1"/>
        <v>178</v>
      </c>
      <c r="O32" s="115">
        <f t="shared" si="1"/>
        <v>177</v>
      </c>
      <c r="P32" s="115" t="e">
        <f t="shared" si="1"/>
        <v>#DIV/0!</v>
      </c>
      <c r="Q32" s="115" t="e">
        <f t="shared" si="1"/>
        <v>#DIV/0!</v>
      </c>
      <c r="R32" s="115" t="e">
        <f t="shared" si="1"/>
        <v>#DIV/0!</v>
      </c>
      <c r="S32" s="115" t="e">
        <f t="shared" si="1"/>
        <v>#DIV/0!</v>
      </c>
      <c r="T32" s="115" t="e">
        <f t="shared" si="1"/>
        <v>#DIV/0!</v>
      </c>
      <c r="U32" s="115" t="e">
        <f t="shared" si="1"/>
        <v>#DIV/0!</v>
      </c>
    </row>
    <row r="33" spans="1:21">
      <c r="A33" s="114" t="s">
        <v>184</v>
      </c>
      <c r="B33" s="115">
        <v>1.18</v>
      </c>
      <c r="C33" s="115">
        <v>1.19</v>
      </c>
      <c r="D33" s="115">
        <v>1.14</v>
      </c>
      <c r="E33" s="115">
        <v>1.18</v>
      </c>
      <c r="F33" s="115">
        <v>1.19</v>
      </c>
      <c r="G33" s="115">
        <v>1.14</v>
      </c>
      <c r="H33" s="115">
        <v>1.18</v>
      </c>
      <c r="I33" s="115">
        <v>1.18</v>
      </c>
      <c r="J33" s="115">
        <v>1.18</v>
      </c>
      <c r="K33" s="115">
        <v>1.18</v>
      </c>
      <c r="L33" s="115">
        <v>1.18</v>
      </c>
      <c r="M33" s="115">
        <v>1.19</v>
      </c>
      <c r="N33" s="115">
        <v>1.06</v>
      </c>
      <c r="O33" s="115">
        <v>1.18</v>
      </c>
      <c r="P33" s="115"/>
      <c r="Q33" s="115"/>
      <c r="R33" s="115"/>
      <c r="S33" s="115"/>
      <c r="T33" s="115"/>
      <c r="U33" s="115"/>
    </row>
    <row r="34" spans="1:21">
      <c r="A34" s="114" t="s">
        <v>185</v>
      </c>
      <c r="B34" s="115">
        <v>1.22</v>
      </c>
      <c r="C34" s="115">
        <v>1.26</v>
      </c>
      <c r="D34" s="115">
        <v>1.18</v>
      </c>
      <c r="E34" s="115">
        <v>1.22</v>
      </c>
      <c r="F34" s="115">
        <v>1.26</v>
      </c>
      <c r="G34" s="115">
        <v>1.18</v>
      </c>
      <c r="H34" s="115">
        <v>1.22</v>
      </c>
      <c r="I34" s="115">
        <v>1.22</v>
      </c>
      <c r="J34" s="115">
        <v>1.22</v>
      </c>
      <c r="K34" s="115">
        <v>1.22</v>
      </c>
      <c r="L34" s="115">
        <v>1.22</v>
      </c>
      <c r="M34" s="115">
        <v>1.26</v>
      </c>
      <c r="N34" s="115">
        <v>1.08</v>
      </c>
      <c r="O34" s="115">
        <v>1.22</v>
      </c>
      <c r="P34" s="115"/>
      <c r="Q34" s="115"/>
      <c r="R34" s="115"/>
      <c r="S34" s="115"/>
      <c r="T34" s="115"/>
      <c r="U34" s="115"/>
    </row>
    <row r="35" spans="1:21">
      <c r="A35" s="114" t="s">
        <v>186</v>
      </c>
      <c r="B35" s="115">
        <f t="shared" ref="B35:F35" si="2">AVERAGE(B33:B34)</f>
        <v>1.2</v>
      </c>
      <c r="C35" s="115">
        <f t="shared" si="2"/>
        <v>1.225</v>
      </c>
      <c r="D35" s="115">
        <f t="shared" si="2"/>
        <v>1.16</v>
      </c>
      <c r="E35" s="115">
        <f t="shared" si="2"/>
        <v>1.2</v>
      </c>
      <c r="F35" s="115">
        <f t="shared" si="2"/>
        <v>1.225</v>
      </c>
      <c r="G35" s="115">
        <f t="shared" ref="G35:O35" si="3">AVERAGE(G33:G34)</f>
        <v>1.16</v>
      </c>
      <c r="H35" s="115">
        <f t="shared" si="3"/>
        <v>1.2</v>
      </c>
      <c r="I35" s="115">
        <f t="shared" si="3"/>
        <v>1.2</v>
      </c>
      <c r="J35" s="115">
        <f t="shared" si="3"/>
        <v>1.2</v>
      </c>
      <c r="K35" s="115">
        <f t="shared" si="3"/>
        <v>1.2</v>
      </c>
      <c r="L35" s="115">
        <f t="shared" si="3"/>
        <v>1.2</v>
      </c>
      <c r="M35" s="115">
        <f t="shared" si="3"/>
        <v>1.225</v>
      </c>
      <c r="N35" s="115">
        <f t="shared" si="3"/>
        <v>1.07</v>
      </c>
      <c r="O35" s="115">
        <f t="shared" si="3"/>
        <v>1.2</v>
      </c>
      <c r="P35" s="115" t="e">
        <f t="shared" ref="M35:U35" si="4">AVERAGE(P33:P34)</f>
        <v>#DIV/0!</v>
      </c>
      <c r="Q35" s="115" t="e">
        <f t="shared" si="4"/>
        <v>#DIV/0!</v>
      </c>
      <c r="R35" s="115" t="e">
        <f t="shared" si="4"/>
        <v>#DIV/0!</v>
      </c>
      <c r="S35" s="115" t="e">
        <f t="shared" si="4"/>
        <v>#DIV/0!</v>
      </c>
      <c r="T35" s="115" t="e">
        <f t="shared" si="4"/>
        <v>#DIV/0!</v>
      </c>
      <c r="U35" s="115" t="e">
        <f t="shared" si="4"/>
        <v>#DIV/0!</v>
      </c>
    </row>
    <row r="36" spans="1:21">
      <c r="A36" s="114" t="s">
        <v>21</v>
      </c>
      <c r="B36" s="115">
        <v>2</v>
      </c>
      <c r="C36" s="115">
        <v>1</v>
      </c>
      <c r="D36" s="115">
        <v>3</v>
      </c>
      <c r="E36" s="115">
        <v>2</v>
      </c>
      <c r="F36" s="115">
        <v>1</v>
      </c>
      <c r="G36" s="115">
        <v>3</v>
      </c>
      <c r="H36" s="115">
        <v>2</v>
      </c>
      <c r="I36" s="115">
        <v>2</v>
      </c>
      <c r="J36" s="115">
        <v>2</v>
      </c>
      <c r="K36" s="115">
        <v>2</v>
      </c>
      <c r="L36" s="115">
        <v>2</v>
      </c>
      <c r="M36" s="115">
        <v>0</v>
      </c>
      <c r="N36" s="115">
        <v>2</v>
      </c>
      <c r="O36" s="115">
        <v>2</v>
      </c>
      <c r="P36" s="115"/>
      <c r="Q36" s="115"/>
      <c r="R36" s="115"/>
      <c r="S36" s="115"/>
      <c r="T36" s="115"/>
      <c r="U36" s="115"/>
    </row>
    <row r="37" spans="1:21">
      <c r="A37" s="114" t="s">
        <v>118</v>
      </c>
      <c r="B37" s="116">
        <v>0.187666666666667</v>
      </c>
      <c r="C37" s="117">
        <v>0.175833333333333</v>
      </c>
      <c r="D37" s="116">
        <v>0.192166666666667</v>
      </c>
      <c r="E37" s="116">
        <v>0.187666666666667</v>
      </c>
      <c r="F37" s="117">
        <v>0.175833333333333</v>
      </c>
      <c r="G37" s="116">
        <v>0.192166666666667</v>
      </c>
      <c r="H37" s="116">
        <v>0.187666666666667</v>
      </c>
      <c r="I37" s="116">
        <v>0.187666666666667</v>
      </c>
      <c r="J37" s="116">
        <v>0.187666666666667</v>
      </c>
      <c r="K37" s="116">
        <v>0.187666666666667</v>
      </c>
      <c r="L37" s="116">
        <v>0.187666666666667</v>
      </c>
      <c r="M37" s="116">
        <v>0.164983333333333</v>
      </c>
      <c r="N37" s="116">
        <v>0.187666666666667</v>
      </c>
      <c r="O37" s="116">
        <v>0.187666666666667</v>
      </c>
      <c r="P37" s="116"/>
      <c r="Q37" s="116"/>
      <c r="R37" s="116"/>
      <c r="S37" s="116"/>
      <c r="T37" s="116"/>
      <c r="U37" s="116"/>
    </row>
    <row r="38" spans="1:21">
      <c r="A38" s="114" t="s">
        <v>187</v>
      </c>
      <c r="B38" s="116">
        <f t="shared" ref="B38:F38" si="5">600*B37*4</f>
        <v>450.400000000001</v>
      </c>
      <c r="C38" s="116">
        <f t="shared" si="5"/>
        <v>421.999999999999</v>
      </c>
      <c r="D38" s="116">
        <f t="shared" si="5"/>
        <v>461.200000000001</v>
      </c>
      <c r="E38" s="116">
        <f t="shared" si="5"/>
        <v>450.400000000001</v>
      </c>
      <c r="F38" s="116">
        <f t="shared" si="5"/>
        <v>421.999999999999</v>
      </c>
      <c r="G38" s="116">
        <f t="shared" ref="G38:O38" si="6">600*G37*4</f>
        <v>461.200000000001</v>
      </c>
      <c r="H38" s="116">
        <f t="shared" si="6"/>
        <v>450.400000000001</v>
      </c>
      <c r="I38" s="116">
        <f t="shared" si="6"/>
        <v>450.400000000001</v>
      </c>
      <c r="J38" s="116">
        <f t="shared" si="6"/>
        <v>450.400000000001</v>
      </c>
      <c r="K38" s="116">
        <f t="shared" si="6"/>
        <v>450.400000000001</v>
      </c>
      <c r="L38" s="116">
        <f t="shared" si="6"/>
        <v>450.400000000001</v>
      </c>
      <c r="M38" s="116">
        <f t="shared" si="6"/>
        <v>395.959999999999</v>
      </c>
      <c r="N38" s="116">
        <f t="shared" si="6"/>
        <v>450.400000000001</v>
      </c>
      <c r="O38" s="116">
        <f t="shared" si="6"/>
        <v>450.400000000001</v>
      </c>
      <c r="P38" s="116">
        <f t="shared" ref="M38:U38" si="7">600*P37*4</f>
        <v>0</v>
      </c>
      <c r="Q38" s="116">
        <f t="shared" si="7"/>
        <v>0</v>
      </c>
      <c r="R38" s="116">
        <f t="shared" si="7"/>
        <v>0</v>
      </c>
      <c r="S38" s="116">
        <f t="shared" si="7"/>
        <v>0</v>
      </c>
      <c r="T38" s="116">
        <f t="shared" si="7"/>
        <v>0</v>
      </c>
      <c r="U38" s="116">
        <f t="shared" si="7"/>
        <v>0</v>
      </c>
    </row>
    <row r="39" spans="1:21">
      <c r="A39" s="114" t="s">
        <v>120</v>
      </c>
      <c r="B39" s="115">
        <v>10</v>
      </c>
      <c r="C39" s="115">
        <v>10</v>
      </c>
      <c r="D39" s="115">
        <v>10</v>
      </c>
      <c r="E39" s="115">
        <v>10</v>
      </c>
      <c r="F39" s="115">
        <v>10</v>
      </c>
      <c r="G39" s="115">
        <v>10</v>
      </c>
      <c r="H39" s="115">
        <v>10</v>
      </c>
      <c r="I39" s="115">
        <v>10</v>
      </c>
      <c r="J39" s="115">
        <v>11</v>
      </c>
      <c r="K39" s="115">
        <v>7</v>
      </c>
      <c r="L39" s="115">
        <v>8</v>
      </c>
      <c r="M39" s="115">
        <v>10</v>
      </c>
      <c r="N39" s="115">
        <v>10</v>
      </c>
      <c r="O39" s="115">
        <v>10</v>
      </c>
      <c r="P39" s="115"/>
      <c r="Q39" s="115"/>
      <c r="R39" s="115"/>
      <c r="S39" s="115"/>
      <c r="T39" s="115"/>
      <c r="U39" s="115"/>
    </row>
    <row r="40" spans="1:21">
      <c r="A40" s="114" t="s">
        <v>121</v>
      </c>
      <c r="B40" s="116">
        <f t="shared" ref="B40:F40" si="8">B39/(10+B39)</f>
        <v>0.5</v>
      </c>
      <c r="C40" s="116">
        <f t="shared" si="8"/>
        <v>0.5</v>
      </c>
      <c r="D40" s="116">
        <f t="shared" si="8"/>
        <v>0.5</v>
      </c>
      <c r="E40" s="116">
        <f t="shared" si="8"/>
        <v>0.5</v>
      </c>
      <c r="F40" s="116">
        <f t="shared" si="8"/>
        <v>0.5</v>
      </c>
      <c r="G40" s="116">
        <f t="shared" ref="G40:O40" si="9">G39/(10+G39)</f>
        <v>0.5</v>
      </c>
      <c r="H40" s="116">
        <f t="shared" si="9"/>
        <v>0.5</v>
      </c>
      <c r="I40" s="116">
        <f t="shared" si="9"/>
        <v>0.5</v>
      </c>
      <c r="J40" s="116">
        <f t="shared" si="9"/>
        <v>0.523809523809524</v>
      </c>
      <c r="K40" s="116">
        <f t="shared" si="9"/>
        <v>0.411764705882353</v>
      </c>
      <c r="L40" s="116">
        <f t="shared" si="9"/>
        <v>0.444444444444444</v>
      </c>
      <c r="M40" s="116">
        <f t="shared" si="9"/>
        <v>0.5</v>
      </c>
      <c r="N40" s="116">
        <f t="shared" si="9"/>
        <v>0.5</v>
      </c>
      <c r="O40" s="116">
        <f t="shared" si="9"/>
        <v>0.5</v>
      </c>
      <c r="P40" s="116">
        <f t="shared" ref="M40:U40" si="10">P39/(10+P39)</f>
        <v>0</v>
      </c>
      <c r="Q40" s="116">
        <f t="shared" si="10"/>
        <v>0</v>
      </c>
      <c r="R40" s="116">
        <f t="shared" si="10"/>
        <v>0</v>
      </c>
      <c r="S40" s="116">
        <f t="shared" si="10"/>
        <v>0</v>
      </c>
      <c r="T40" s="116">
        <f t="shared" si="10"/>
        <v>0</v>
      </c>
      <c r="U40" s="116">
        <f t="shared" si="10"/>
        <v>0</v>
      </c>
    </row>
    <row r="41" spans="1:21">
      <c r="A41" s="114" t="s">
        <v>122</v>
      </c>
      <c r="B41" s="115">
        <v>0.21</v>
      </c>
      <c r="C41" s="115">
        <v>0.21</v>
      </c>
      <c r="D41" s="115">
        <v>0.21</v>
      </c>
      <c r="E41" s="115">
        <v>0.21</v>
      </c>
      <c r="F41" s="115">
        <v>0.21</v>
      </c>
      <c r="G41" s="115">
        <v>0.21</v>
      </c>
      <c r="H41" s="115">
        <v>0.21</v>
      </c>
      <c r="I41" s="115">
        <v>0.21</v>
      </c>
      <c r="J41" s="115">
        <v>0.21</v>
      </c>
      <c r="K41" s="115">
        <v>0.21</v>
      </c>
      <c r="L41" s="115">
        <v>0.21</v>
      </c>
      <c r="M41" s="115">
        <v>0.21</v>
      </c>
      <c r="N41" s="115">
        <v>0.21</v>
      </c>
      <c r="O41" s="115">
        <v>0.19</v>
      </c>
      <c r="P41" s="115"/>
      <c r="Q41" s="115"/>
      <c r="R41" s="115"/>
      <c r="S41" s="115"/>
      <c r="T41" s="115"/>
      <c r="U41" s="115"/>
    </row>
    <row r="42" spans="1:21">
      <c r="A42" s="114" t="s">
        <v>123</v>
      </c>
      <c r="B42" s="115">
        <v>1.54</v>
      </c>
      <c r="C42" s="115">
        <v>1.54</v>
      </c>
      <c r="D42" s="115">
        <v>1.54</v>
      </c>
      <c r="E42" s="115">
        <v>1.54</v>
      </c>
      <c r="F42" s="115">
        <v>1.54</v>
      </c>
      <c r="G42" s="115">
        <v>1.54</v>
      </c>
      <c r="H42" s="115">
        <v>1.39</v>
      </c>
      <c r="I42" s="115">
        <v>1.54</v>
      </c>
      <c r="J42" s="115">
        <v>1.54</v>
      </c>
      <c r="K42" s="115">
        <v>1.54</v>
      </c>
      <c r="L42" s="115">
        <v>1.54</v>
      </c>
      <c r="M42" s="115">
        <v>1.54</v>
      </c>
      <c r="N42" s="115">
        <v>1.54</v>
      </c>
      <c r="O42" s="115">
        <v>1.56</v>
      </c>
      <c r="P42" s="115"/>
      <c r="Q42" s="115"/>
      <c r="R42" s="115"/>
      <c r="S42" s="115"/>
      <c r="T42" s="115"/>
      <c r="U42" s="115"/>
    </row>
    <row r="43" spans="1:21">
      <c r="A43" s="118" t="s">
        <v>188</v>
      </c>
      <c r="B43" s="116">
        <f t="shared" ref="B43:N43" si="11">B38*0.5</f>
        <v>225.2</v>
      </c>
      <c r="C43" s="116">
        <f t="shared" si="11"/>
        <v>211</v>
      </c>
      <c r="D43" s="116">
        <f t="shared" si="11"/>
        <v>230.6</v>
      </c>
      <c r="E43" s="116">
        <f t="shared" si="11"/>
        <v>225.2</v>
      </c>
      <c r="F43" s="116">
        <f t="shared" si="11"/>
        <v>211</v>
      </c>
      <c r="G43" s="116">
        <f t="shared" si="11"/>
        <v>230.6</v>
      </c>
      <c r="H43" s="116">
        <f t="shared" si="11"/>
        <v>225.2</v>
      </c>
      <c r="I43" s="116">
        <f t="shared" si="11"/>
        <v>225.2</v>
      </c>
      <c r="J43" s="116">
        <f t="shared" si="11"/>
        <v>225.2</v>
      </c>
      <c r="K43" s="116">
        <f t="shared" si="11"/>
        <v>225.2</v>
      </c>
      <c r="L43" s="116">
        <f t="shared" si="11"/>
        <v>225.2</v>
      </c>
      <c r="M43" s="116">
        <f t="shared" si="11"/>
        <v>197.98</v>
      </c>
      <c r="N43" s="116">
        <f t="shared" si="11"/>
        <v>225.2</v>
      </c>
      <c r="O43" s="116">
        <f t="shared" ref="O43:U43" si="12">O38*0.5</f>
        <v>225.2</v>
      </c>
      <c r="P43" s="116">
        <f t="shared" si="12"/>
        <v>0</v>
      </c>
      <c r="Q43" s="116">
        <f t="shared" si="12"/>
        <v>0</v>
      </c>
      <c r="R43" s="116">
        <f t="shared" si="12"/>
        <v>0</v>
      </c>
      <c r="S43" s="116">
        <f t="shared" si="12"/>
        <v>0</v>
      </c>
      <c r="T43" s="116">
        <f t="shared" si="12"/>
        <v>0</v>
      </c>
      <c r="U43" s="116">
        <f t="shared" si="12"/>
        <v>0</v>
      </c>
    </row>
    <row r="44" spans="1:21">
      <c r="A44" s="118" t="s">
        <v>189</v>
      </c>
      <c r="B44" s="116">
        <f t="shared" ref="B44:N44" si="13">B43*3</f>
        <v>675.600000000001</v>
      </c>
      <c r="C44" s="116">
        <f t="shared" si="13"/>
        <v>632.999999999999</v>
      </c>
      <c r="D44" s="116">
        <f t="shared" si="13"/>
        <v>691.800000000001</v>
      </c>
      <c r="E44" s="116">
        <f t="shared" si="13"/>
        <v>675.600000000001</v>
      </c>
      <c r="F44" s="116">
        <f t="shared" si="13"/>
        <v>632.999999999999</v>
      </c>
      <c r="G44" s="116">
        <f t="shared" si="13"/>
        <v>691.800000000001</v>
      </c>
      <c r="H44" s="116">
        <f t="shared" si="13"/>
        <v>675.600000000001</v>
      </c>
      <c r="I44" s="116">
        <f t="shared" si="13"/>
        <v>675.600000000001</v>
      </c>
      <c r="J44" s="116">
        <f t="shared" si="13"/>
        <v>675.600000000001</v>
      </c>
      <c r="K44" s="116">
        <f t="shared" si="13"/>
        <v>675.600000000001</v>
      </c>
      <c r="L44" s="116">
        <f t="shared" si="13"/>
        <v>675.600000000001</v>
      </c>
      <c r="M44" s="116">
        <f t="shared" si="13"/>
        <v>593.939999999999</v>
      </c>
      <c r="N44" s="116">
        <f t="shared" si="13"/>
        <v>675.600000000001</v>
      </c>
      <c r="O44" s="116">
        <f t="shared" ref="O44:U44" si="14">O43*3</f>
        <v>675.600000000001</v>
      </c>
      <c r="P44" s="116">
        <f t="shared" si="14"/>
        <v>0</v>
      </c>
      <c r="Q44" s="116">
        <f t="shared" si="14"/>
        <v>0</v>
      </c>
      <c r="R44" s="116">
        <f t="shared" si="14"/>
        <v>0</v>
      </c>
      <c r="S44" s="116">
        <f t="shared" si="14"/>
        <v>0</v>
      </c>
      <c r="T44" s="116">
        <f t="shared" si="14"/>
        <v>0</v>
      </c>
      <c r="U44" s="116">
        <f t="shared" si="14"/>
        <v>0</v>
      </c>
    </row>
    <row r="45" spans="1:21">
      <c r="A45" s="118" t="s">
        <v>127</v>
      </c>
      <c r="B45" s="116">
        <f t="shared" ref="B45:N45" si="15">B44*B40</f>
        <v>337.800000000001</v>
      </c>
      <c r="C45" s="116">
        <f t="shared" si="15"/>
        <v>316.499999999999</v>
      </c>
      <c r="D45" s="116">
        <f t="shared" si="15"/>
        <v>345.900000000001</v>
      </c>
      <c r="E45" s="116">
        <f t="shared" si="15"/>
        <v>337.800000000001</v>
      </c>
      <c r="F45" s="116">
        <f t="shared" si="15"/>
        <v>316.499999999999</v>
      </c>
      <c r="G45" s="116">
        <f t="shared" si="15"/>
        <v>345.900000000001</v>
      </c>
      <c r="H45" s="116">
        <f t="shared" si="15"/>
        <v>337.800000000001</v>
      </c>
      <c r="I45" s="116">
        <f t="shared" si="15"/>
        <v>337.800000000001</v>
      </c>
      <c r="J45" s="116">
        <f t="shared" si="15"/>
        <v>353.885714285715</v>
      </c>
      <c r="K45" s="116">
        <f t="shared" si="15"/>
        <v>278.188235294118</v>
      </c>
      <c r="L45" s="116">
        <f t="shared" si="15"/>
        <v>300.266666666667</v>
      </c>
      <c r="M45" s="116">
        <f t="shared" si="15"/>
        <v>296.969999999999</v>
      </c>
      <c r="N45" s="116">
        <f t="shared" si="15"/>
        <v>337.800000000001</v>
      </c>
      <c r="O45" s="116">
        <f t="shared" ref="O45:U45" si="16">O44*O40</f>
        <v>337.800000000001</v>
      </c>
      <c r="P45" s="116">
        <f t="shared" si="16"/>
        <v>0</v>
      </c>
      <c r="Q45" s="116">
        <f t="shared" si="16"/>
        <v>0</v>
      </c>
      <c r="R45" s="116">
        <f t="shared" si="16"/>
        <v>0</v>
      </c>
      <c r="S45" s="116">
        <f t="shared" si="16"/>
        <v>0</v>
      </c>
      <c r="T45" s="116">
        <f t="shared" si="16"/>
        <v>0</v>
      </c>
      <c r="U45" s="116">
        <f t="shared" si="16"/>
        <v>0</v>
      </c>
    </row>
    <row r="46" spans="1:21">
      <c r="A46" s="118" t="s">
        <v>128</v>
      </c>
      <c r="B46" s="116">
        <f t="shared" ref="B46:N46" si="17">B45*B41</f>
        <v>70.9380000000001</v>
      </c>
      <c r="C46" s="116">
        <f t="shared" si="17"/>
        <v>66.4649999999999</v>
      </c>
      <c r="D46" s="116">
        <f t="shared" si="17"/>
        <v>72.6390000000001</v>
      </c>
      <c r="E46" s="116">
        <f t="shared" si="17"/>
        <v>70.9380000000001</v>
      </c>
      <c r="F46" s="116">
        <f t="shared" si="17"/>
        <v>66.4649999999999</v>
      </c>
      <c r="G46" s="116">
        <f t="shared" si="17"/>
        <v>72.6390000000001</v>
      </c>
      <c r="H46" s="116">
        <f t="shared" si="17"/>
        <v>70.9380000000001</v>
      </c>
      <c r="I46" s="116">
        <f t="shared" si="17"/>
        <v>70.9380000000001</v>
      </c>
      <c r="J46" s="116">
        <f t="shared" si="17"/>
        <v>74.3160000000001</v>
      </c>
      <c r="K46" s="116">
        <f t="shared" si="17"/>
        <v>58.4195294117648</v>
      </c>
      <c r="L46" s="116">
        <f t="shared" si="17"/>
        <v>63.0560000000001</v>
      </c>
      <c r="M46" s="116">
        <f t="shared" si="17"/>
        <v>62.3636999999999</v>
      </c>
      <c r="N46" s="116">
        <f t="shared" si="17"/>
        <v>70.9380000000001</v>
      </c>
      <c r="O46" s="116">
        <f t="shared" ref="O46:U46" si="18">O45*O41</f>
        <v>64.1820000000001</v>
      </c>
      <c r="P46" s="116">
        <f t="shared" si="18"/>
        <v>0</v>
      </c>
      <c r="Q46" s="116">
        <f t="shared" si="18"/>
        <v>0</v>
      </c>
      <c r="R46" s="116">
        <f t="shared" si="18"/>
        <v>0</v>
      </c>
      <c r="S46" s="116">
        <f t="shared" si="18"/>
        <v>0</v>
      </c>
      <c r="T46" s="116">
        <f t="shared" si="18"/>
        <v>0</v>
      </c>
      <c r="U46" s="116">
        <f t="shared" si="18"/>
        <v>0</v>
      </c>
    </row>
    <row r="47" spans="1:21">
      <c r="A47" s="118" t="s">
        <v>129</v>
      </c>
      <c r="B47" s="116">
        <f>(160+B31)*B46*B42*B35</f>
        <v>60565.1618880001</v>
      </c>
      <c r="C47" s="116">
        <f>(160+C31)*C46*C42*C35</f>
        <v>57928.4347949999</v>
      </c>
      <c r="D47" s="116">
        <f>(160+D31)*D46*D42*D35</f>
        <v>59950.1870352001</v>
      </c>
      <c r="E47" s="116">
        <f>(160+E31)*E46*E42*E35*1.5</f>
        <v>90847.7428320002</v>
      </c>
      <c r="F47" s="116">
        <f>(160+F31)*F46*F42*F35*1.5</f>
        <v>86892.6521924999</v>
      </c>
      <c r="G47" s="116">
        <f>(160+G31)*G46*G42*G35*1.5</f>
        <v>89925.2805528002</v>
      </c>
      <c r="H47" s="116">
        <f>(220+H31)*H46*H42*H35*1.5</f>
        <v>88743.4380000002</v>
      </c>
      <c r="I47" s="116">
        <f t="shared" ref="I47:N47" si="19">(160+I31)*I46*I42*I35*1.5*1.09</f>
        <v>99024.0396868802</v>
      </c>
      <c r="J47" s="116">
        <f t="shared" si="19"/>
        <v>103514.92584048</v>
      </c>
      <c r="K47" s="116">
        <f t="shared" si="19"/>
        <v>81549.2091539013</v>
      </c>
      <c r="L47" s="116">
        <f t="shared" si="19"/>
        <v>88402.4134963202</v>
      </c>
      <c r="M47" s="116">
        <f t="shared" si="19"/>
        <v>89253.3284347319</v>
      </c>
      <c r="N47" s="116">
        <f t="shared" si="19"/>
        <v>88678.6710384962</v>
      </c>
      <c r="O47" s="116">
        <f t="shared" ref="O47:U47" si="20">(160+O31)*O46*O42*O35*1.5*1.09</f>
        <v>90756.7265404802</v>
      </c>
      <c r="P47" s="116" t="e">
        <f t="shared" si="20"/>
        <v>#DIV/0!</v>
      </c>
      <c r="Q47" s="116" t="e">
        <f t="shared" si="20"/>
        <v>#DIV/0!</v>
      </c>
      <c r="R47" s="116" t="e">
        <f t="shared" si="20"/>
        <v>#DIV/0!</v>
      </c>
      <c r="S47" s="116" t="e">
        <f t="shared" si="20"/>
        <v>#DIV/0!</v>
      </c>
      <c r="T47" s="116" t="e">
        <f t="shared" si="20"/>
        <v>#DIV/0!</v>
      </c>
      <c r="U47" s="116" t="e">
        <f t="shared" si="20"/>
        <v>#DIV/0!</v>
      </c>
    </row>
    <row r="48" spans="1:21">
      <c r="A48" s="118" t="s">
        <v>130</v>
      </c>
      <c r="B48" s="116">
        <f t="shared" ref="B48:N48" si="21">B45-B46</f>
        <v>266.862000000001</v>
      </c>
      <c r="C48" s="116">
        <f t="shared" si="21"/>
        <v>250.035</v>
      </c>
      <c r="D48" s="116">
        <f t="shared" si="21"/>
        <v>273.261000000001</v>
      </c>
      <c r="E48" s="116">
        <f t="shared" si="21"/>
        <v>266.862000000001</v>
      </c>
      <c r="F48" s="116">
        <f t="shared" si="21"/>
        <v>250.035</v>
      </c>
      <c r="G48" s="116">
        <f t="shared" si="21"/>
        <v>273.261000000001</v>
      </c>
      <c r="H48" s="116">
        <f t="shared" si="21"/>
        <v>266.862000000001</v>
      </c>
      <c r="I48" s="116">
        <f t="shared" si="21"/>
        <v>266.862000000001</v>
      </c>
      <c r="J48" s="116">
        <f t="shared" si="21"/>
        <v>279.569714285715</v>
      </c>
      <c r="K48" s="116">
        <f t="shared" si="21"/>
        <v>219.768705882353</v>
      </c>
      <c r="L48" s="116">
        <f t="shared" si="21"/>
        <v>237.210666666667</v>
      </c>
      <c r="M48" s="116">
        <f t="shared" si="21"/>
        <v>234.6063</v>
      </c>
      <c r="N48" s="116">
        <f t="shared" si="21"/>
        <v>266.862000000001</v>
      </c>
      <c r="O48" s="116">
        <f t="shared" ref="O48:U48" si="22">O45-O46</f>
        <v>273.618000000001</v>
      </c>
      <c r="P48" s="116">
        <f t="shared" si="22"/>
        <v>0</v>
      </c>
      <c r="Q48" s="116">
        <f t="shared" si="22"/>
        <v>0</v>
      </c>
      <c r="R48" s="116">
        <f t="shared" si="22"/>
        <v>0</v>
      </c>
      <c r="S48" s="116">
        <f t="shared" si="22"/>
        <v>0</v>
      </c>
      <c r="T48" s="116">
        <f t="shared" si="22"/>
        <v>0</v>
      </c>
      <c r="U48" s="116">
        <f t="shared" si="22"/>
        <v>0</v>
      </c>
    </row>
    <row r="49" spans="1:21">
      <c r="A49" s="118" t="s">
        <v>131</v>
      </c>
      <c r="B49" s="116">
        <f>(160+B31)*B48*B35</f>
        <v>147948.2928</v>
      </c>
      <c r="C49" s="116">
        <f>(160+C31)*C48*C35</f>
        <v>141507.30825</v>
      </c>
      <c r="D49" s="116">
        <f>(160+D31)*D48*D35</f>
        <v>146446.03512</v>
      </c>
      <c r="E49" s="116">
        <f>(160+E31)*E48*E35*1.5</f>
        <v>221922.4392</v>
      </c>
      <c r="F49" s="116">
        <f>(160+F31)*F48*F35*1.5</f>
        <v>212260.962375</v>
      </c>
      <c r="G49" s="116">
        <f>(160+G31)*G48*G35*1.5</f>
        <v>219669.05268</v>
      </c>
      <c r="H49" s="116">
        <f>(220+H31)*H48*H35*1.5</f>
        <v>240175.8</v>
      </c>
      <c r="I49" s="116">
        <f t="shared" ref="I49:N49" si="23">(160+I31)*I48*I35*1.5*1.09</f>
        <v>241895.458728</v>
      </c>
      <c r="J49" s="116">
        <f t="shared" si="23"/>
        <v>252865.774316572</v>
      </c>
      <c r="K49" s="116">
        <f t="shared" si="23"/>
        <v>199208.024834824</v>
      </c>
      <c r="L49" s="116">
        <f t="shared" si="23"/>
        <v>215949.000192</v>
      </c>
      <c r="M49" s="116">
        <f t="shared" si="23"/>
        <v>218027.6112042</v>
      </c>
      <c r="N49" s="116">
        <f t="shared" si="23"/>
        <v>216623.8408176</v>
      </c>
      <c r="O49" s="116">
        <f t="shared" ref="O49:U49" si="24">(160+O31)*O48*O35*1.5*1.09</f>
        <v>248019.394392001</v>
      </c>
      <c r="P49" s="116" t="e">
        <f t="shared" si="24"/>
        <v>#DIV/0!</v>
      </c>
      <c r="Q49" s="116" t="e">
        <f t="shared" si="24"/>
        <v>#DIV/0!</v>
      </c>
      <c r="R49" s="116" t="e">
        <f t="shared" si="24"/>
        <v>#DIV/0!</v>
      </c>
      <c r="S49" s="116" t="e">
        <f t="shared" si="24"/>
        <v>#DIV/0!</v>
      </c>
      <c r="T49" s="116" t="e">
        <f t="shared" si="24"/>
        <v>#DIV/0!</v>
      </c>
      <c r="U49" s="116" t="e">
        <f t="shared" si="24"/>
        <v>#DIV/0!</v>
      </c>
    </row>
    <row r="50" spans="1:21">
      <c r="A50" s="118" t="s">
        <v>132</v>
      </c>
      <c r="B50" s="116">
        <f t="shared" ref="B50:N50" si="25">B44*(1-B40)</f>
        <v>337.800000000001</v>
      </c>
      <c r="C50" s="116">
        <f t="shared" si="25"/>
        <v>316.499999999999</v>
      </c>
      <c r="D50" s="116">
        <f t="shared" si="25"/>
        <v>345.900000000001</v>
      </c>
      <c r="E50" s="116">
        <f t="shared" si="25"/>
        <v>337.800000000001</v>
      </c>
      <c r="F50" s="116">
        <f t="shared" si="25"/>
        <v>316.499999999999</v>
      </c>
      <c r="G50" s="116">
        <f t="shared" si="25"/>
        <v>345.900000000001</v>
      </c>
      <c r="H50" s="116">
        <f t="shared" si="25"/>
        <v>337.800000000001</v>
      </c>
      <c r="I50" s="116">
        <f t="shared" si="25"/>
        <v>337.800000000001</v>
      </c>
      <c r="J50" s="116">
        <f t="shared" si="25"/>
        <v>321.714285714286</v>
      </c>
      <c r="K50" s="116">
        <f t="shared" si="25"/>
        <v>397.411764705883</v>
      </c>
      <c r="L50" s="116">
        <f t="shared" si="25"/>
        <v>375.333333333334</v>
      </c>
      <c r="M50" s="116">
        <f t="shared" si="25"/>
        <v>296.969999999999</v>
      </c>
      <c r="N50" s="116">
        <f t="shared" si="25"/>
        <v>337.800000000001</v>
      </c>
      <c r="O50" s="116">
        <f t="shared" ref="O50:U50" si="26">O44*(1-O40)</f>
        <v>337.800000000001</v>
      </c>
      <c r="P50" s="116">
        <f t="shared" si="26"/>
        <v>0</v>
      </c>
      <c r="Q50" s="116">
        <f t="shared" si="26"/>
        <v>0</v>
      </c>
      <c r="R50" s="116">
        <f t="shared" si="26"/>
        <v>0</v>
      </c>
      <c r="S50" s="116">
        <f t="shared" si="26"/>
        <v>0</v>
      </c>
      <c r="T50" s="116">
        <f t="shared" si="26"/>
        <v>0</v>
      </c>
      <c r="U50" s="116">
        <f t="shared" si="26"/>
        <v>0</v>
      </c>
    </row>
    <row r="51" spans="1:21">
      <c r="A51" s="118" t="s">
        <v>133</v>
      </c>
      <c r="B51" s="116">
        <f t="shared" ref="B51:N51" si="27">B50*B41</f>
        <v>70.9380000000001</v>
      </c>
      <c r="C51" s="116">
        <f t="shared" si="27"/>
        <v>66.4649999999999</v>
      </c>
      <c r="D51" s="116">
        <f t="shared" si="27"/>
        <v>72.6390000000001</v>
      </c>
      <c r="E51" s="116">
        <f t="shared" si="27"/>
        <v>70.9380000000001</v>
      </c>
      <c r="F51" s="116">
        <f t="shared" si="27"/>
        <v>66.4649999999999</v>
      </c>
      <c r="G51" s="116">
        <f t="shared" si="27"/>
        <v>72.6390000000001</v>
      </c>
      <c r="H51" s="116">
        <f t="shared" si="27"/>
        <v>70.9380000000001</v>
      </c>
      <c r="I51" s="116">
        <f t="shared" si="27"/>
        <v>70.9380000000001</v>
      </c>
      <c r="J51" s="116">
        <f t="shared" si="27"/>
        <v>67.5600000000001</v>
      </c>
      <c r="K51" s="116">
        <f t="shared" si="27"/>
        <v>83.4564705882354</v>
      </c>
      <c r="L51" s="116">
        <f t="shared" si="27"/>
        <v>78.8200000000001</v>
      </c>
      <c r="M51" s="116">
        <f t="shared" si="27"/>
        <v>62.3636999999999</v>
      </c>
      <c r="N51" s="116">
        <f t="shared" si="27"/>
        <v>70.9380000000001</v>
      </c>
      <c r="O51" s="116">
        <f t="shared" ref="O51:U51" si="28">O50*O41</f>
        <v>64.1820000000001</v>
      </c>
      <c r="P51" s="116">
        <f t="shared" si="28"/>
        <v>0</v>
      </c>
      <c r="Q51" s="116">
        <f t="shared" si="28"/>
        <v>0</v>
      </c>
      <c r="R51" s="116">
        <f t="shared" si="28"/>
        <v>0</v>
      </c>
      <c r="S51" s="116">
        <f t="shared" si="28"/>
        <v>0</v>
      </c>
      <c r="T51" s="116">
        <f t="shared" si="28"/>
        <v>0</v>
      </c>
      <c r="U51" s="116">
        <f t="shared" si="28"/>
        <v>0</v>
      </c>
    </row>
    <row r="52" spans="1:21">
      <c r="A52" s="118" t="s">
        <v>134</v>
      </c>
      <c r="B52" s="116">
        <f>(160+B32)*B42*B51*B35</f>
        <v>44178.4838880001</v>
      </c>
      <c r="C52" s="116">
        <f>(160+C32)*C42*C51*C35</f>
        <v>42255.1569824999</v>
      </c>
      <c r="D52" s="116">
        <f>(160+D32)*D42*D51*D35</f>
        <v>43729.8983352001</v>
      </c>
      <c r="E52" s="116">
        <f>(160+E32)*E42*E51*E35*1.5</f>
        <v>66267.7258320001</v>
      </c>
      <c r="F52" s="116">
        <f>(160+F32)*F42*F51*F35*1.5</f>
        <v>63382.7354737499</v>
      </c>
      <c r="G52" s="116">
        <f>(160+G32)*G42*G51*G35*1.5</f>
        <v>65594.8475028001</v>
      </c>
      <c r="H52" s="116">
        <f>(220+H32)*H42*H51*H35*1.5</f>
        <v>69752.3422680001</v>
      </c>
      <c r="I52" s="116">
        <f t="shared" ref="I52:N52" si="29">(160+I32)*I42*I51*I35*1.5*1.09</f>
        <v>72231.8211568801</v>
      </c>
      <c r="J52" s="116">
        <f t="shared" si="29"/>
        <v>68690.1450312001</v>
      </c>
      <c r="K52" s="116">
        <f t="shared" si="29"/>
        <v>84978.6131257414</v>
      </c>
      <c r="L52" s="116">
        <f t="shared" si="29"/>
        <v>80495.7321168002</v>
      </c>
      <c r="M52" s="116">
        <f t="shared" si="29"/>
        <v>65016.4332132314</v>
      </c>
      <c r="N52" s="116">
        <f t="shared" si="29"/>
        <v>64597.8250237321</v>
      </c>
      <c r="O52" s="116">
        <f t="shared" ref="O52:U52" si="30">(160+O32)*O42*O51*O35*1.5*1.09</f>
        <v>66201.3351604801</v>
      </c>
      <c r="P52" s="116" t="e">
        <f t="shared" si="30"/>
        <v>#DIV/0!</v>
      </c>
      <c r="Q52" s="116" t="e">
        <f t="shared" si="30"/>
        <v>#DIV/0!</v>
      </c>
      <c r="R52" s="116" t="e">
        <f t="shared" si="30"/>
        <v>#DIV/0!</v>
      </c>
      <c r="S52" s="116" t="e">
        <f t="shared" si="30"/>
        <v>#DIV/0!</v>
      </c>
      <c r="T52" s="116" t="e">
        <f t="shared" si="30"/>
        <v>#DIV/0!</v>
      </c>
      <c r="U52" s="116" t="e">
        <f t="shared" si="30"/>
        <v>#DIV/0!</v>
      </c>
    </row>
    <row r="53" spans="1:21">
      <c r="A53" s="118" t="s">
        <v>135</v>
      </c>
      <c r="B53" s="116">
        <f t="shared" ref="B53:N53" si="31">B50-B51</f>
        <v>266.862000000001</v>
      </c>
      <c r="C53" s="116">
        <f t="shared" si="31"/>
        <v>250.035</v>
      </c>
      <c r="D53" s="116">
        <f t="shared" si="31"/>
        <v>273.261000000001</v>
      </c>
      <c r="E53" s="116">
        <f t="shared" si="31"/>
        <v>266.862000000001</v>
      </c>
      <c r="F53" s="116">
        <f t="shared" si="31"/>
        <v>250.035</v>
      </c>
      <c r="G53" s="116">
        <f t="shared" si="31"/>
        <v>273.261000000001</v>
      </c>
      <c r="H53" s="116">
        <f t="shared" si="31"/>
        <v>266.862000000001</v>
      </c>
      <c r="I53" s="116">
        <f t="shared" si="31"/>
        <v>266.862000000001</v>
      </c>
      <c r="J53" s="116">
        <f t="shared" si="31"/>
        <v>254.154285714286</v>
      </c>
      <c r="K53" s="116">
        <f t="shared" si="31"/>
        <v>313.955294117648</v>
      </c>
      <c r="L53" s="116">
        <f t="shared" si="31"/>
        <v>296.513333333334</v>
      </c>
      <c r="M53" s="116">
        <f t="shared" si="31"/>
        <v>234.6063</v>
      </c>
      <c r="N53" s="116">
        <f t="shared" si="31"/>
        <v>266.862000000001</v>
      </c>
      <c r="O53" s="116">
        <f t="shared" ref="O53:U53" si="32">O50-O51</f>
        <v>273.618000000001</v>
      </c>
      <c r="P53" s="116">
        <f t="shared" si="32"/>
        <v>0</v>
      </c>
      <c r="Q53" s="116">
        <f t="shared" si="32"/>
        <v>0</v>
      </c>
      <c r="R53" s="116">
        <f t="shared" si="32"/>
        <v>0</v>
      </c>
      <c r="S53" s="116">
        <f t="shared" si="32"/>
        <v>0</v>
      </c>
      <c r="T53" s="116">
        <f t="shared" si="32"/>
        <v>0</v>
      </c>
      <c r="U53" s="116">
        <f t="shared" si="32"/>
        <v>0</v>
      </c>
    </row>
    <row r="54" spans="1:21">
      <c r="A54" s="118" t="s">
        <v>136</v>
      </c>
      <c r="B54" s="116">
        <f>(160+B32)*B53*B35</f>
        <v>107918.9928</v>
      </c>
      <c r="C54" s="116">
        <f>(160+C32)*C53*C35</f>
        <v>103220.698875</v>
      </c>
      <c r="D54" s="116">
        <f>(160+D32)*D53*D35</f>
        <v>106823.19012</v>
      </c>
      <c r="E54" s="116">
        <f>(160+E32)*E53*E35*1.5</f>
        <v>161878.4892</v>
      </c>
      <c r="F54" s="116">
        <f>(160+F32)*F53*F35*1.5</f>
        <v>154831.0483125</v>
      </c>
      <c r="G54" s="116">
        <f>(160+G32)*G53*G35*1.5</f>
        <v>160234.78518</v>
      </c>
      <c r="H54" s="116">
        <f>(220+H32)*H53*H35*1.5</f>
        <v>188778.1788</v>
      </c>
      <c r="I54" s="116">
        <f t="shared" ref="I54:N54" si="33">(160+I32)*I53*I35*1.5*1.09</f>
        <v>176447.553228</v>
      </c>
      <c r="J54" s="116">
        <f t="shared" si="33"/>
        <v>167795.963434286</v>
      </c>
      <c r="K54" s="116">
        <f t="shared" si="33"/>
        <v>207585.356738824</v>
      </c>
      <c r="L54" s="116">
        <f t="shared" si="33"/>
        <v>196634.59608</v>
      </c>
      <c r="M54" s="116">
        <f t="shared" si="33"/>
        <v>158821.837472025</v>
      </c>
      <c r="N54" s="116">
        <f t="shared" si="33"/>
        <v>157799.2633542</v>
      </c>
      <c r="O54" s="116">
        <f t="shared" ref="O54:U54" si="34">(160+O32)*O53*O35*1.5*1.09</f>
        <v>180914.579892</v>
      </c>
      <c r="P54" s="116" t="e">
        <f t="shared" si="34"/>
        <v>#DIV/0!</v>
      </c>
      <c r="Q54" s="116" t="e">
        <f t="shared" si="34"/>
        <v>#DIV/0!</v>
      </c>
      <c r="R54" s="116" t="e">
        <f t="shared" si="34"/>
        <v>#DIV/0!</v>
      </c>
      <c r="S54" s="116" t="e">
        <f t="shared" si="34"/>
        <v>#DIV/0!</v>
      </c>
      <c r="T54" s="116" t="e">
        <f t="shared" si="34"/>
        <v>#DIV/0!</v>
      </c>
      <c r="U54" s="116" t="e">
        <f t="shared" si="34"/>
        <v>#DIV/0!</v>
      </c>
    </row>
    <row r="55" spans="1:21">
      <c r="A55" s="118" t="s">
        <v>190</v>
      </c>
      <c r="B55" s="116">
        <f t="shared" ref="B55:N55" si="35">SUM(B47,B49,B52,B54)</f>
        <v>360610.931376001</v>
      </c>
      <c r="C55" s="116">
        <f t="shared" si="35"/>
        <v>344911.598902499</v>
      </c>
      <c r="D55" s="116">
        <f t="shared" si="35"/>
        <v>356949.310610401</v>
      </c>
      <c r="E55" s="116">
        <f t="shared" si="35"/>
        <v>540916.397064001</v>
      </c>
      <c r="F55" s="116">
        <f t="shared" si="35"/>
        <v>517367.398353749</v>
      </c>
      <c r="G55" s="116">
        <f t="shared" si="35"/>
        <v>535423.965915601</v>
      </c>
      <c r="H55" s="116">
        <f t="shared" si="35"/>
        <v>587449.759068001</v>
      </c>
      <c r="I55" s="116">
        <f t="shared" si="35"/>
        <v>589598.872799761</v>
      </c>
      <c r="J55" s="116">
        <f t="shared" si="35"/>
        <v>592866.808622538</v>
      </c>
      <c r="K55" s="116">
        <f t="shared" si="35"/>
        <v>573321.203853291</v>
      </c>
      <c r="L55" s="116">
        <f t="shared" si="35"/>
        <v>581481.741885121</v>
      </c>
      <c r="M55" s="116">
        <f t="shared" si="35"/>
        <v>531119.210324188</v>
      </c>
      <c r="N55" s="116">
        <f t="shared" si="35"/>
        <v>527699.600234029</v>
      </c>
      <c r="O55" s="116">
        <f t="shared" ref="O55:U55" si="36">SUM(O47,O49,O52,O54)</f>
        <v>585892.035984961</v>
      </c>
      <c r="P55" s="116" t="e">
        <f t="shared" si="36"/>
        <v>#DIV/0!</v>
      </c>
      <c r="Q55" s="116" t="e">
        <f t="shared" si="36"/>
        <v>#DIV/0!</v>
      </c>
      <c r="R55" s="116" t="e">
        <f t="shared" si="36"/>
        <v>#DIV/0!</v>
      </c>
      <c r="S55" s="116" t="e">
        <f t="shared" si="36"/>
        <v>#DIV/0!</v>
      </c>
      <c r="T55" s="116" t="e">
        <f t="shared" si="36"/>
        <v>#DIV/0!</v>
      </c>
      <c r="U55" s="116" t="e">
        <f t="shared" si="36"/>
        <v>#DIV/0!</v>
      </c>
    </row>
    <row r="56" spans="1:21">
      <c r="A56" s="119" t="s">
        <v>191</v>
      </c>
      <c r="B56" s="116">
        <f t="shared" ref="B56:N56" si="37">B38*B37</f>
        <v>84.525066666667</v>
      </c>
      <c r="C56" s="116">
        <f t="shared" si="37"/>
        <v>74.2016666666664</v>
      </c>
      <c r="D56" s="116">
        <f t="shared" si="37"/>
        <v>88.627266666667</v>
      </c>
      <c r="E56" s="116">
        <f t="shared" si="37"/>
        <v>84.525066666667</v>
      </c>
      <c r="F56" s="116">
        <f t="shared" si="37"/>
        <v>74.2016666666664</v>
      </c>
      <c r="G56" s="116">
        <f t="shared" si="37"/>
        <v>88.627266666667</v>
      </c>
      <c r="H56" s="116">
        <f t="shared" si="37"/>
        <v>84.525066666667</v>
      </c>
      <c r="I56" s="116">
        <f t="shared" si="37"/>
        <v>84.525066666667</v>
      </c>
      <c r="J56" s="116">
        <f t="shared" si="37"/>
        <v>84.525066666667</v>
      </c>
      <c r="K56" s="116">
        <f t="shared" si="37"/>
        <v>84.525066666667</v>
      </c>
      <c r="L56" s="116">
        <f t="shared" si="37"/>
        <v>84.525066666667</v>
      </c>
      <c r="M56" s="116">
        <f t="shared" si="37"/>
        <v>65.3268006666664</v>
      </c>
      <c r="N56" s="116">
        <f t="shared" si="37"/>
        <v>84.525066666667</v>
      </c>
      <c r="O56" s="116">
        <f t="shared" ref="O56:U56" si="38">O38*O37</f>
        <v>84.525066666667</v>
      </c>
      <c r="P56" s="116">
        <f t="shared" si="38"/>
        <v>0</v>
      </c>
      <c r="Q56" s="116">
        <f t="shared" si="38"/>
        <v>0</v>
      </c>
      <c r="R56" s="116">
        <f t="shared" si="38"/>
        <v>0</v>
      </c>
      <c r="S56" s="116">
        <f t="shared" si="38"/>
        <v>0</v>
      </c>
      <c r="T56" s="116">
        <f t="shared" si="38"/>
        <v>0</v>
      </c>
      <c r="U56" s="116">
        <f t="shared" si="38"/>
        <v>0</v>
      </c>
    </row>
    <row r="57" spans="1:21">
      <c r="A57" s="119" t="s">
        <v>192</v>
      </c>
      <c r="B57" s="116">
        <f t="shared" ref="B57:N57" si="39">B56*3</f>
        <v>253.575200000001</v>
      </c>
      <c r="C57" s="116">
        <f t="shared" si="39"/>
        <v>222.604999999999</v>
      </c>
      <c r="D57" s="116">
        <f t="shared" si="39"/>
        <v>265.881800000001</v>
      </c>
      <c r="E57" s="116">
        <f t="shared" si="39"/>
        <v>253.575200000001</v>
      </c>
      <c r="F57" s="116">
        <f t="shared" si="39"/>
        <v>222.604999999999</v>
      </c>
      <c r="G57" s="116">
        <f t="shared" si="39"/>
        <v>265.881800000001</v>
      </c>
      <c r="H57" s="116">
        <f t="shared" si="39"/>
        <v>253.575200000001</v>
      </c>
      <c r="I57" s="116">
        <f t="shared" si="39"/>
        <v>253.575200000001</v>
      </c>
      <c r="J57" s="116">
        <f t="shared" si="39"/>
        <v>253.575200000001</v>
      </c>
      <c r="K57" s="116">
        <f t="shared" si="39"/>
        <v>253.575200000001</v>
      </c>
      <c r="L57" s="116">
        <f t="shared" si="39"/>
        <v>253.575200000001</v>
      </c>
      <c r="M57" s="116">
        <f t="shared" si="39"/>
        <v>195.980401999999</v>
      </c>
      <c r="N57" s="116">
        <f t="shared" si="39"/>
        <v>253.575200000001</v>
      </c>
      <c r="O57" s="116">
        <f t="shared" ref="O57:U57" si="40">O56*3</f>
        <v>253.575200000001</v>
      </c>
      <c r="P57" s="116">
        <f t="shared" si="40"/>
        <v>0</v>
      </c>
      <c r="Q57" s="116">
        <f t="shared" si="40"/>
        <v>0</v>
      </c>
      <c r="R57" s="116">
        <f t="shared" si="40"/>
        <v>0</v>
      </c>
      <c r="S57" s="116">
        <f t="shared" si="40"/>
        <v>0</v>
      </c>
      <c r="T57" s="116">
        <f t="shared" si="40"/>
        <v>0</v>
      </c>
      <c r="U57" s="116">
        <f t="shared" si="40"/>
        <v>0</v>
      </c>
    </row>
    <row r="58" spans="1:21">
      <c r="A58" s="119" t="s">
        <v>127</v>
      </c>
      <c r="B58" s="116">
        <f t="shared" ref="B58:N58" si="41">B57*B40</f>
        <v>126.7876</v>
      </c>
      <c r="C58" s="116">
        <f t="shared" si="41"/>
        <v>111.3025</v>
      </c>
      <c r="D58" s="116">
        <f t="shared" si="41"/>
        <v>132.9409</v>
      </c>
      <c r="E58" s="116">
        <f t="shared" si="41"/>
        <v>126.7876</v>
      </c>
      <c r="F58" s="116">
        <f t="shared" si="41"/>
        <v>111.3025</v>
      </c>
      <c r="G58" s="116">
        <f t="shared" si="41"/>
        <v>132.9409</v>
      </c>
      <c r="H58" s="116">
        <f t="shared" si="41"/>
        <v>126.7876</v>
      </c>
      <c r="I58" s="116">
        <f t="shared" si="41"/>
        <v>126.7876</v>
      </c>
      <c r="J58" s="116">
        <f t="shared" si="41"/>
        <v>132.825104761905</v>
      </c>
      <c r="K58" s="116">
        <f t="shared" si="41"/>
        <v>104.413317647059</v>
      </c>
      <c r="L58" s="116">
        <f t="shared" si="41"/>
        <v>112.700088888889</v>
      </c>
      <c r="M58" s="116">
        <f t="shared" si="41"/>
        <v>97.9902009999996</v>
      </c>
      <c r="N58" s="116">
        <f t="shared" si="41"/>
        <v>126.7876</v>
      </c>
      <c r="O58" s="116">
        <f t="shared" ref="O58:U58" si="42">O57*O40</f>
        <v>126.7876</v>
      </c>
      <c r="P58" s="116">
        <f t="shared" si="42"/>
        <v>0</v>
      </c>
      <c r="Q58" s="116">
        <f t="shared" si="42"/>
        <v>0</v>
      </c>
      <c r="R58" s="116">
        <f t="shared" si="42"/>
        <v>0</v>
      </c>
      <c r="S58" s="116">
        <f t="shared" si="42"/>
        <v>0</v>
      </c>
      <c r="T58" s="116">
        <f t="shared" si="42"/>
        <v>0</v>
      </c>
      <c r="U58" s="116">
        <f t="shared" si="42"/>
        <v>0</v>
      </c>
    </row>
    <row r="59" spans="1:21">
      <c r="A59" s="119" t="s">
        <v>128</v>
      </c>
      <c r="B59" s="116">
        <f t="shared" ref="B59:N59" si="43">B58*B41</f>
        <v>26.6253960000001</v>
      </c>
      <c r="C59" s="116">
        <f t="shared" si="43"/>
        <v>23.3735249999999</v>
      </c>
      <c r="D59" s="116">
        <f t="shared" si="43"/>
        <v>27.9175890000001</v>
      </c>
      <c r="E59" s="116">
        <f t="shared" si="43"/>
        <v>26.6253960000001</v>
      </c>
      <c r="F59" s="116">
        <f t="shared" si="43"/>
        <v>23.3735249999999</v>
      </c>
      <c r="G59" s="116">
        <f t="shared" si="43"/>
        <v>27.9175890000001</v>
      </c>
      <c r="H59" s="116">
        <f t="shared" si="43"/>
        <v>26.6253960000001</v>
      </c>
      <c r="I59" s="116">
        <f t="shared" si="43"/>
        <v>26.6253960000001</v>
      </c>
      <c r="J59" s="116">
        <f t="shared" si="43"/>
        <v>27.8932720000001</v>
      </c>
      <c r="K59" s="116">
        <f t="shared" si="43"/>
        <v>21.9267967058824</v>
      </c>
      <c r="L59" s="116">
        <f t="shared" si="43"/>
        <v>23.6670186666667</v>
      </c>
      <c r="M59" s="116">
        <f t="shared" si="43"/>
        <v>20.5779422099999</v>
      </c>
      <c r="N59" s="116">
        <f t="shared" si="43"/>
        <v>26.6253960000001</v>
      </c>
      <c r="O59" s="116">
        <f t="shared" ref="O59:U59" si="44">O58*O41</f>
        <v>24.0896440000001</v>
      </c>
      <c r="P59" s="116">
        <f t="shared" si="44"/>
        <v>0</v>
      </c>
      <c r="Q59" s="116">
        <f t="shared" si="44"/>
        <v>0</v>
      </c>
      <c r="R59" s="116">
        <f t="shared" si="44"/>
        <v>0</v>
      </c>
      <c r="S59" s="116">
        <f t="shared" si="44"/>
        <v>0</v>
      </c>
      <c r="T59" s="116">
        <f t="shared" si="44"/>
        <v>0</v>
      </c>
      <c r="U59" s="116">
        <f t="shared" si="44"/>
        <v>0</v>
      </c>
    </row>
    <row r="60" spans="1:21">
      <c r="A60" s="119" t="s">
        <v>129</v>
      </c>
      <c r="B60" s="116">
        <f>(100+B31)*B42*B59*B35</f>
        <v>19779.9001868161</v>
      </c>
      <c r="C60" s="116">
        <f>(100+C31)*C42*C59*C35</f>
        <v>17725.8502748249</v>
      </c>
      <c r="D60" s="116">
        <f>(100+D31)*D42*D59*D35</f>
        <v>20048.5363578193</v>
      </c>
      <c r="E60" s="116">
        <f>(100+E31)*E42*E59*E35*1.5</f>
        <v>29669.8502802241</v>
      </c>
      <c r="F60" s="116">
        <f>(100+F31)*F42*F59*F35*1.5</f>
        <v>26588.7754122374</v>
      </c>
      <c r="G60" s="116">
        <f>(100+G31)*G42*G59*G35*1.5</f>
        <v>30072.8045367289</v>
      </c>
      <c r="H60" s="116">
        <f>(130+H31)*H42*H59*H35*1.5</f>
        <v>27312.8637247201</v>
      </c>
      <c r="I60" s="116">
        <f t="shared" ref="I60:N60" si="45">(100+I31)*I42*I59*I35*1.5*1.09</f>
        <v>32340.1368054443</v>
      </c>
      <c r="J60" s="116">
        <f t="shared" si="45"/>
        <v>33795.8643565067</v>
      </c>
      <c r="K60" s="116">
        <f t="shared" si="45"/>
        <v>26633.0538397776</v>
      </c>
      <c r="L60" s="116">
        <f t="shared" si="45"/>
        <v>28889.8071186279</v>
      </c>
      <c r="M60" s="116">
        <f t="shared" si="45"/>
        <v>25642.3530217575</v>
      </c>
      <c r="N60" s="116">
        <f t="shared" si="45"/>
        <v>28980.0877658737</v>
      </c>
      <c r="O60" s="116">
        <f t="shared" ref="O60:U60" si="46">(100+O31)*O42*O59*O35*1.5*1.09</f>
        <v>29640.1253838395</v>
      </c>
      <c r="P60" s="116" t="e">
        <f t="shared" si="46"/>
        <v>#DIV/0!</v>
      </c>
      <c r="Q60" s="116" t="e">
        <f t="shared" si="46"/>
        <v>#DIV/0!</v>
      </c>
      <c r="R60" s="116" t="e">
        <f t="shared" si="46"/>
        <v>#DIV/0!</v>
      </c>
      <c r="S60" s="116" t="e">
        <f t="shared" si="46"/>
        <v>#DIV/0!</v>
      </c>
      <c r="T60" s="116" t="e">
        <f t="shared" si="46"/>
        <v>#DIV/0!</v>
      </c>
      <c r="U60" s="116" t="e">
        <f t="shared" si="46"/>
        <v>#DIV/0!</v>
      </c>
    </row>
    <row r="61" spans="1:21">
      <c r="A61" s="119" t="s">
        <v>130</v>
      </c>
      <c r="B61" s="116">
        <f t="shared" ref="B61:N61" si="47">B58-B59</f>
        <v>100.162204</v>
      </c>
      <c r="C61" s="116">
        <f t="shared" si="47"/>
        <v>87.9289749999997</v>
      </c>
      <c r="D61" s="116">
        <f t="shared" si="47"/>
        <v>105.023311</v>
      </c>
      <c r="E61" s="116">
        <f t="shared" si="47"/>
        <v>100.162204</v>
      </c>
      <c r="F61" s="116">
        <f t="shared" si="47"/>
        <v>87.9289749999997</v>
      </c>
      <c r="G61" s="116">
        <f t="shared" si="47"/>
        <v>105.023311</v>
      </c>
      <c r="H61" s="116">
        <f t="shared" si="47"/>
        <v>100.162204</v>
      </c>
      <c r="I61" s="116">
        <f t="shared" si="47"/>
        <v>100.162204</v>
      </c>
      <c r="J61" s="116">
        <f t="shared" si="47"/>
        <v>104.931832761905</v>
      </c>
      <c r="K61" s="116">
        <f t="shared" si="47"/>
        <v>82.4865209411768</v>
      </c>
      <c r="L61" s="116">
        <f t="shared" si="47"/>
        <v>89.0330702222225</v>
      </c>
      <c r="M61" s="116">
        <f t="shared" si="47"/>
        <v>77.4122587899997</v>
      </c>
      <c r="N61" s="116">
        <f t="shared" si="47"/>
        <v>100.162204</v>
      </c>
      <c r="O61" s="116">
        <f t="shared" ref="O61:U61" si="48">O58-O59</f>
        <v>102.697956</v>
      </c>
      <c r="P61" s="116">
        <f t="shared" si="48"/>
        <v>0</v>
      </c>
      <c r="Q61" s="116">
        <f t="shared" si="48"/>
        <v>0</v>
      </c>
      <c r="R61" s="116">
        <f t="shared" si="48"/>
        <v>0</v>
      </c>
      <c r="S61" s="116">
        <f t="shared" si="48"/>
        <v>0</v>
      </c>
      <c r="T61" s="116">
        <f t="shared" si="48"/>
        <v>0</v>
      </c>
      <c r="U61" s="116">
        <f t="shared" si="48"/>
        <v>0</v>
      </c>
    </row>
    <row r="62" spans="1:21">
      <c r="A62" s="119" t="s">
        <v>131</v>
      </c>
      <c r="B62" s="116">
        <f>(100+B31)*B61*B35</f>
        <v>48318.2472096002</v>
      </c>
      <c r="C62" s="116">
        <f>(100+C31)*C61*C35</f>
        <v>43300.6237387498</v>
      </c>
      <c r="D62" s="116">
        <f>(100+D31)*D61*D35</f>
        <v>48974.4703855202</v>
      </c>
      <c r="E62" s="116">
        <f>(100+E31)*E61*E35*1.5</f>
        <v>72477.3708144003</v>
      </c>
      <c r="F62" s="116">
        <f>(100+F31)*F61*F35*1.5</f>
        <v>64950.9356081248</v>
      </c>
      <c r="G62" s="116">
        <f>(100+G31)*G61*G35*1.5</f>
        <v>73461.7055782803</v>
      </c>
      <c r="H62" s="116">
        <f>(130+H31)*H61*H35*1.5</f>
        <v>73919.7065520003</v>
      </c>
      <c r="I62" s="116">
        <f t="shared" ref="I62:N62" si="49">(100+I31)*I61*I35*1.5*1.09</f>
        <v>79000.3341876963</v>
      </c>
      <c r="J62" s="116">
        <f t="shared" si="49"/>
        <v>82556.378607422</v>
      </c>
      <c r="K62" s="116">
        <f t="shared" si="49"/>
        <v>65059.0987428087</v>
      </c>
      <c r="L62" s="116">
        <f t="shared" si="49"/>
        <v>70571.8850455042</v>
      </c>
      <c r="M62" s="116">
        <f t="shared" si="49"/>
        <v>62639.0194409043</v>
      </c>
      <c r="N62" s="116">
        <f t="shared" si="49"/>
        <v>70792.4221862715</v>
      </c>
      <c r="O62" s="116">
        <f t="shared" ref="O62:U62" si="50">(100+O31)*O61*O35*1.5*1.09</f>
        <v>81000.3426481443</v>
      </c>
      <c r="P62" s="116" t="e">
        <f t="shared" si="50"/>
        <v>#DIV/0!</v>
      </c>
      <c r="Q62" s="116" t="e">
        <f t="shared" si="50"/>
        <v>#DIV/0!</v>
      </c>
      <c r="R62" s="116" t="e">
        <f t="shared" si="50"/>
        <v>#DIV/0!</v>
      </c>
      <c r="S62" s="116" t="e">
        <f t="shared" si="50"/>
        <v>#DIV/0!</v>
      </c>
      <c r="T62" s="116" t="e">
        <f t="shared" si="50"/>
        <v>#DIV/0!</v>
      </c>
      <c r="U62" s="116" t="e">
        <f t="shared" si="50"/>
        <v>#DIV/0!</v>
      </c>
    </row>
    <row r="63" spans="1:21">
      <c r="A63" s="119" t="s">
        <v>132</v>
      </c>
      <c r="B63" s="116">
        <f t="shared" ref="B63:N63" si="51">B57-B58</f>
        <v>126.7876</v>
      </c>
      <c r="C63" s="116">
        <f t="shared" si="51"/>
        <v>111.3025</v>
      </c>
      <c r="D63" s="116">
        <f t="shared" si="51"/>
        <v>132.9409</v>
      </c>
      <c r="E63" s="116">
        <f t="shared" si="51"/>
        <v>126.7876</v>
      </c>
      <c r="F63" s="116">
        <f t="shared" si="51"/>
        <v>111.3025</v>
      </c>
      <c r="G63" s="116">
        <f t="shared" si="51"/>
        <v>132.9409</v>
      </c>
      <c r="H63" s="116">
        <f t="shared" si="51"/>
        <v>126.7876</v>
      </c>
      <c r="I63" s="116">
        <f t="shared" si="51"/>
        <v>126.7876</v>
      </c>
      <c r="J63" s="116">
        <f t="shared" si="51"/>
        <v>120.750095238096</v>
      </c>
      <c r="K63" s="116">
        <f t="shared" si="51"/>
        <v>149.161882352942</v>
      </c>
      <c r="L63" s="116">
        <f t="shared" si="51"/>
        <v>140.875111111112</v>
      </c>
      <c r="M63" s="116">
        <f t="shared" si="51"/>
        <v>97.9902009999996</v>
      </c>
      <c r="N63" s="116">
        <f t="shared" si="51"/>
        <v>126.7876</v>
      </c>
      <c r="O63" s="116">
        <f t="shared" ref="O63:U63" si="52">O57-O58</f>
        <v>126.7876</v>
      </c>
      <c r="P63" s="116">
        <f t="shared" si="52"/>
        <v>0</v>
      </c>
      <c r="Q63" s="116">
        <f t="shared" si="52"/>
        <v>0</v>
      </c>
      <c r="R63" s="116">
        <f t="shared" si="52"/>
        <v>0</v>
      </c>
      <c r="S63" s="116">
        <f t="shared" si="52"/>
        <v>0</v>
      </c>
      <c r="T63" s="116">
        <f t="shared" si="52"/>
        <v>0</v>
      </c>
      <c r="U63" s="116">
        <f t="shared" si="52"/>
        <v>0</v>
      </c>
    </row>
    <row r="64" spans="1:21">
      <c r="A64" s="119" t="s">
        <v>133</v>
      </c>
      <c r="B64" s="116">
        <f t="shared" ref="B64:N64" si="53">B63*B41</f>
        <v>26.6253960000001</v>
      </c>
      <c r="C64" s="116">
        <f t="shared" si="53"/>
        <v>23.3735249999999</v>
      </c>
      <c r="D64" s="116">
        <f t="shared" si="53"/>
        <v>27.9175890000001</v>
      </c>
      <c r="E64" s="116">
        <f t="shared" si="53"/>
        <v>26.6253960000001</v>
      </c>
      <c r="F64" s="116">
        <f t="shared" si="53"/>
        <v>23.3735249999999</v>
      </c>
      <c r="G64" s="116">
        <f t="shared" si="53"/>
        <v>27.9175890000001</v>
      </c>
      <c r="H64" s="116">
        <f t="shared" si="53"/>
        <v>26.6253960000001</v>
      </c>
      <c r="I64" s="116">
        <f t="shared" si="53"/>
        <v>26.6253960000001</v>
      </c>
      <c r="J64" s="116">
        <f t="shared" si="53"/>
        <v>25.3575200000001</v>
      </c>
      <c r="K64" s="116">
        <f t="shared" si="53"/>
        <v>31.3239952941178</v>
      </c>
      <c r="L64" s="116">
        <f t="shared" si="53"/>
        <v>29.5837733333334</v>
      </c>
      <c r="M64" s="116">
        <f t="shared" si="53"/>
        <v>20.5779422099999</v>
      </c>
      <c r="N64" s="116">
        <f t="shared" si="53"/>
        <v>26.6253960000001</v>
      </c>
      <c r="O64" s="116">
        <f t="shared" ref="O64:U64" si="54">O63*O41</f>
        <v>24.0896440000001</v>
      </c>
      <c r="P64" s="116">
        <f t="shared" si="54"/>
        <v>0</v>
      </c>
      <c r="Q64" s="116">
        <f t="shared" si="54"/>
        <v>0</v>
      </c>
      <c r="R64" s="116">
        <f t="shared" si="54"/>
        <v>0</v>
      </c>
      <c r="S64" s="116">
        <f t="shared" si="54"/>
        <v>0</v>
      </c>
      <c r="T64" s="116">
        <f t="shared" si="54"/>
        <v>0</v>
      </c>
      <c r="U64" s="116">
        <f t="shared" si="54"/>
        <v>0</v>
      </c>
    </row>
    <row r="65" spans="1:21">
      <c r="A65" s="119" t="s">
        <v>134</v>
      </c>
      <c r="B65" s="116">
        <f>(100+B32)*B42*B64*B35</f>
        <v>13629.433710816</v>
      </c>
      <c r="C65" s="116">
        <f>(100+C32)*C42*C64*C35</f>
        <v>12214.0809107625</v>
      </c>
      <c r="D65" s="116">
        <f>(100+D32)*D42*D64*D35</f>
        <v>13814.5387341192</v>
      </c>
      <c r="E65" s="116">
        <f>(100+E32)*E42*E64*E35*1.5</f>
        <v>20444.1505662241</v>
      </c>
      <c r="F65" s="116">
        <f>(100+F32)*F42*F64*F35*1.5</f>
        <v>18321.1213661437</v>
      </c>
      <c r="G65" s="116">
        <f>(100+G32)*G42*G64*G35*1.5</f>
        <v>20721.8081011789</v>
      </c>
      <c r="H65" s="116">
        <f>(130+H32)*H42*H64*H35*1.5</f>
        <v>20184.8724599761</v>
      </c>
      <c r="I65" s="116">
        <f t="shared" ref="I65:N65" si="55">(100+I32)*I42*I64*I35*1.5*1.09</f>
        <v>22284.1241171842</v>
      </c>
      <c r="J65" s="116">
        <f t="shared" si="55"/>
        <v>21184.6667299345</v>
      </c>
      <c r="K65" s="116">
        <f t="shared" si="55"/>
        <v>26216.616608452</v>
      </c>
      <c r="L65" s="116">
        <f t="shared" si="55"/>
        <v>24849.5246874337</v>
      </c>
      <c r="M65" s="116">
        <f t="shared" si="55"/>
        <v>17644.9854951698</v>
      </c>
      <c r="N65" s="116">
        <f t="shared" si="55"/>
        <v>19941.7435616655</v>
      </c>
      <c r="O65" s="116">
        <f t="shared" ref="O65:U65" si="56">(100+O32)*O42*O64*O35*1.5*1.09</f>
        <v>20423.6684858794</v>
      </c>
      <c r="P65" s="116" t="e">
        <f t="shared" si="56"/>
        <v>#DIV/0!</v>
      </c>
      <c r="Q65" s="116" t="e">
        <f t="shared" si="56"/>
        <v>#DIV/0!</v>
      </c>
      <c r="R65" s="116" t="e">
        <f t="shared" si="56"/>
        <v>#DIV/0!</v>
      </c>
      <c r="S65" s="116" t="e">
        <f t="shared" si="56"/>
        <v>#DIV/0!</v>
      </c>
      <c r="T65" s="116" t="e">
        <f t="shared" si="56"/>
        <v>#DIV/0!</v>
      </c>
      <c r="U65" s="116" t="e">
        <f t="shared" si="56"/>
        <v>#DIV/0!</v>
      </c>
    </row>
    <row r="66" spans="1:21">
      <c r="A66" s="119" t="s">
        <v>135</v>
      </c>
      <c r="B66" s="116">
        <f t="shared" ref="B66:N66" si="57">B63-B64</f>
        <v>100.162204</v>
      </c>
      <c r="C66" s="116">
        <f t="shared" si="57"/>
        <v>87.9289749999997</v>
      </c>
      <c r="D66" s="116">
        <f t="shared" si="57"/>
        <v>105.023311</v>
      </c>
      <c r="E66" s="116">
        <f t="shared" si="57"/>
        <v>100.162204</v>
      </c>
      <c r="F66" s="116">
        <f t="shared" si="57"/>
        <v>87.9289749999997</v>
      </c>
      <c r="G66" s="116">
        <f t="shared" si="57"/>
        <v>105.023311</v>
      </c>
      <c r="H66" s="116">
        <f t="shared" si="57"/>
        <v>100.162204</v>
      </c>
      <c r="I66" s="116">
        <f t="shared" si="57"/>
        <v>100.162204</v>
      </c>
      <c r="J66" s="116">
        <f t="shared" si="57"/>
        <v>95.3925752380956</v>
      </c>
      <c r="K66" s="116">
        <f t="shared" si="57"/>
        <v>117.837887058824</v>
      </c>
      <c r="L66" s="116">
        <f t="shared" si="57"/>
        <v>111.291337777778</v>
      </c>
      <c r="M66" s="116">
        <f t="shared" si="57"/>
        <v>77.4122587899997</v>
      </c>
      <c r="N66" s="116">
        <f t="shared" si="57"/>
        <v>100.162204</v>
      </c>
      <c r="O66" s="116">
        <f t="shared" ref="O66:U66" si="58">O63-O64</f>
        <v>102.697956</v>
      </c>
      <c r="P66" s="116">
        <f t="shared" si="58"/>
        <v>0</v>
      </c>
      <c r="Q66" s="116">
        <f t="shared" si="58"/>
        <v>0</v>
      </c>
      <c r="R66" s="116">
        <f t="shared" si="58"/>
        <v>0</v>
      </c>
      <c r="S66" s="116">
        <f t="shared" si="58"/>
        <v>0</v>
      </c>
      <c r="T66" s="116">
        <f t="shared" si="58"/>
        <v>0</v>
      </c>
      <c r="U66" s="116">
        <f t="shared" si="58"/>
        <v>0</v>
      </c>
    </row>
    <row r="67" spans="1:21">
      <c r="A67" s="119" t="s">
        <v>136</v>
      </c>
      <c r="B67" s="116">
        <f>(100+B32)*B66*B35</f>
        <v>33293.9166096001</v>
      </c>
      <c r="C67" s="116">
        <f>(100+C32)*C66*C35</f>
        <v>29836.4994418749</v>
      </c>
      <c r="D67" s="116">
        <f>(100+D32)*D66*D35</f>
        <v>33746.0902905201</v>
      </c>
      <c r="E67" s="116">
        <f>(100+E32)*E66*E35*1.5</f>
        <v>49940.8749144002</v>
      </c>
      <c r="F67" s="116">
        <f>(100+F32)*F66*F35*1.5</f>
        <v>44754.7491628123</v>
      </c>
      <c r="G67" s="116">
        <f>(100+G32)*G66*G35*1.5</f>
        <v>50619.1354357802</v>
      </c>
      <c r="H67" s="116">
        <f>(130+H32)*H66*H35*1.5</f>
        <v>54628.4660616002</v>
      </c>
      <c r="I67" s="116">
        <f t="shared" ref="I67:N67" si="59">(130+I32)*I66*I35*1.5*1.09</f>
        <v>60331.1009841362</v>
      </c>
      <c r="J67" s="116">
        <f t="shared" si="59"/>
        <v>57364.6112971545</v>
      </c>
      <c r="K67" s="116">
        <f t="shared" si="59"/>
        <v>70977.7658636897</v>
      </c>
      <c r="L67" s="116">
        <f t="shared" si="59"/>
        <v>67252.9102537602</v>
      </c>
      <c r="M67" s="116">
        <f t="shared" si="59"/>
        <v>47754.4999697984</v>
      </c>
      <c r="N67" s="116">
        <f t="shared" si="59"/>
        <v>53970.4604786426</v>
      </c>
      <c r="O67" s="116">
        <f t="shared" ref="O67:U67" si="60">(130+O32)*O66*O35*1.5*1.09</f>
        <v>61858.4706293042</v>
      </c>
      <c r="P67" s="116" t="e">
        <f t="shared" si="60"/>
        <v>#DIV/0!</v>
      </c>
      <c r="Q67" s="116" t="e">
        <f t="shared" si="60"/>
        <v>#DIV/0!</v>
      </c>
      <c r="R67" s="116" t="e">
        <f t="shared" si="60"/>
        <v>#DIV/0!</v>
      </c>
      <c r="S67" s="116" t="e">
        <f t="shared" si="60"/>
        <v>#DIV/0!</v>
      </c>
      <c r="T67" s="116" t="e">
        <f t="shared" si="60"/>
        <v>#DIV/0!</v>
      </c>
      <c r="U67" s="116" t="e">
        <f t="shared" si="60"/>
        <v>#DIV/0!</v>
      </c>
    </row>
    <row r="68" spans="1:21">
      <c r="A68" s="119" t="s">
        <v>193</v>
      </c>
      <c r="B68" s="116">
        <f t="shared" ref="B68:N68" si="61">SUM(B60,B62,B65,B67)</f>
        <v>115021.497716832</v>
      </c>
      <c r="C68" s="116">
        <f t="shared" si="61"/>
        <v>103077.054366212</v>
      </c>
      <c r="D68" s="116">
        <f t="shared" si="61"/>
        <v>116583.635767979</v>
      </c>
      <c r="E68" s="116">
        <f t="shared" si="61"/>
        <v>172532.246575249</v>
      </c>
      <c r="F68" s="116">
        <f t="shared" si="61"/>
        <v>154615.581549318</v>
      </c>
      <c r="G68" s="116">
        <f t="shared" si="61"/>
        <v>174875.453651968</v>
      </c>
      <c r="H68" s="116">
        <f t="shared" si="61"/>
        <v>176045.908798297</v>
      </c>
      <c r="I68" s="116">
        <f t="shared" si="61"/>
        <v>193955.696094461</v>
      </c>
      <c r="J68" s="116">
        <f t="shared" si="61"/>
        <v>194901.520991018</v>
      </c>
      <c r="K68" s="116">
        <f t="shared" si="61"/>
        <v>188886.535054728</v>
      </c>
      <c r="L68" s="116">
        <f t="shared" si="61"/>
        <v>191564.127105326</v>
      </c>
      <c r="M68" s="116">
        <f t="shared" si="61"/>
        <v>153680.85792763</v>
      </c>
      <c r="N68" s="116">
        <f t="shared" si="61"/>
        <v>173684.713992453</v>
      </c>
      <c r="O68" s="116">
        <f t="shared" ref="O68:U68" si="62">SUM(O60,O62,O65,O67)</f>
        <v>192922.607147167</v>
      </c>
      <c r="P68" s="116" t="e">
        <f t="shared" si="62"/>
        <v>#DIV/0!</v>
      </c>
      <c r="Q68" s="116" t="e">
        <f t="shared" si="62"/>
        <v>#DIV/0!</v>
      </c>
      <c r="R68" s="116" t="e">
        <f t="shared" si="62"/>
        <v>#DIV/0!</v>
      </c>
      <c r="S68" s="116" t="e">
        <f t="shared" si="62"/>
        <v>#DIV/0!</v>
      </c>
      <c r="T68" s="116" t="e">
        <f t="shared" si="62"/>
        <v>#DIV/0!</v>
      </c>
      <c r="U68" s="116" t="e">
        <f t="shared" si="62"/>
        <v>#DIV/0!</v>
      </c>
    </row>
    <row r="69" spans="1:21">
      <c r="A69" s="120" t="s">
        <v>194</v>
      </c>
      <c r="B69" s="116">
        <f t="shared" ref="B69:N69" si="63">B38*B37</f>
        <v>84.525066666667</v>
      </c>
      <c r="C69" s="116">
        <f t="shared" si="63"/>
        <v>74.2016666666664</v>
      </c>
      <c r="D69" s="116">
        <f t="shared" si="63"/>
        <v>88.627266666667</v>
      </c>
      <c r="E69" s="116">
        <f t="shared" si="63"/>
        <v>84.525066666667</v>
      </c>
      <c r="F69" s="116">
        <f t="shared" si="63"/>
        <v>74.2016666666664</v>
      </c>
      <c r="G69" s="116">
        <f t="shared" si="63"/>
        <v>88.627266666667</v>
      </c>
      <c r="H69" s="116">
        <f t="shared" si="63"/>
        <v>84.525066666667</v>
      </c>
      <c r="I69" s="116">
        <f t="shared" si="63"/>
        <v>84.525066666667</v>
      </c>
      <c r="J69" s="116">
        <f t="shared" si="63"/>
        <v>84.525066666667</v>
      </c>
      <c r="K69" s="116">
        <f t="shared" si="63"/>
        <v>84.525066666667</v>
      </c>
      <c r="L69" s="116">
        <f t="shared" si="63"/>
        <v>84.525066666667</v>
      </c>
      <c r="M69" s="116">
        <f t="shared" si="63"/>
        <v>65.3268006666664</v>
      </c>
      <c r="N69" s="116">
        <f t="shared" si="63"/>
        <v>84.525066666667</v>
      </c>
      <c r="O69" s="116">
        <f t="shared" ref="O69:U69" si="64">O38*O37</f>
        <v>84.525066666667</v>
      </c>
      <c r="P69" s="116">
        <f t="shared" si="64"/>
        <v>0</v>
      </c>
      <c r="Q69" s="116">
        <f t="shared" si="64"/>
        <v>0</v>
      </c>
      <c r="R69" s="116">
        <f t="shared" si="64"/>
        <v>0</v>
      </c>
      <c r="S69" s="116">
        <f t="shared" si="64"/>
        <v>0</v>
      </c>
      <c r="T69" s="116">
        <f t="shared" si="64"/>
        <v>0</v>
      </c>
      <c r="U69" s="116">
        <f t="shared" si="64"/>
        <v>0</v>
      </c>
    </row>
    <row r="70" spans="1:21">
      <c r="A70" s="120" t="s">
        <v>127</v>
      </c>
      <c r="B70" s="116">
        <f t="shared" ref="B70:N70" si="65">B69*B40</f>
        <v>42.2625333333335</v>
      </c>
      <c r="C70" s="116">
        <f t="shared" si="65"/>
        <v>37.1008333333332</v>
      </c>
      <c r="D70" s="116">
        <f t="shared" si="65"/>
        <v>44.3136333333335</v>
      </c>
      <c r="E70" s="116">
        <f t="shared" si="65"/>
        <v>42.2625333333335</v>
      </c>
      <c r="F70" s="116">
        <f t="shared" si="65"/>
        <v>37.1008333333332</v>
      </c>
      <c r="G70" s="116">
        <f t="shared" si="65"/>
        <v>44.3136333333335</v>
      </c>
      <c r="H70" s="116">
        <f t="shared" si="65"/>
        <v>42.2625333333335</v>
      </c>
      <c r="I70" s="116">
        <f t="shared" si="65"/>
        <v>42.2625333333335</v>
      </c>
      <c r="J70" s="116">
        <f t="shared" si="65"/>
        <v>44.2750349206351</v>
      </c>
      <c r="K70" s="116">
        <f t="shared" si="65"/>
        <v>34.8044392156864</v>
      </c>
      <c r="L70" s="116">
        <f t="shared" si="65"/>
        <v>37.5666962962964</v>
      </c>
      <c r="M70" s="116">
        <f t="shared" si="65"/>
        <v>32.6634003333332</v>
      </c>
      <c r="N70" s="116">
        <f t="shared" si="65"/>
        <v>42.2625333333335</v>
      </c>
      <c r="O70" s="116">
        <f t="shared" ref="O70:U70" si="66">O69*O40</f>
        <v>42.2625333333335</v>
      </c>
      <c r="P70" s="116">
        <f t="shared" si="66"/>
        <v>0</v>
      </c>
      <c r="Q70" s="116">
        <f t="shared" si="66"/>
        <v>0</v>
      </c>
      <c r="R70" s="116">
        <f t="shared" si="66"/>
        <v>0</v>
      </c>
      <c r="S70" s="116">
        <f t="shared" si="66"/>
        <v>0</v>
      </c>
      <c r="T70" s="116">
        <f t="shared" si="66"/>
        <v>0</v>
      </c>
      <c r="U70" s="116">
        <f t="shared" si="66"/>
        <v>0</v>
      </c>
    </row>
    <row r="71" spans="1:21">
      <c r="A71" s="120" t="s">
        <v>128</v>
      </c>
      <c r="B71" s="116">
        <f t="shared" ref="B71:N71" si="67">B70*B41</f>
        <v>8.87513200000003</v>
      </c>
      <c r="C71" s="116">
        <f t="shared" si="67"/>
        <v>7.79117499999997</v>
      </c>
      <c r="D71" s="116">
        <f t="shared" si="67"/>
        <v>9.30586300000003</v>
      </c>
      <c r="E71" s="116">
        <f t="shared" si="67"/>
        <v>8.87513200000003</v>
      </c>
      <c r="F71" s="116">
        <f t="shared" si="67"/>
        <v>7.79117499999997</v>
      </c>
      <c r="G71" s="116">
        <f t="shared" si="67"/>
        <v>9.30586300000003</v>
      </c>
      <c r="H71" s="116">
        <f t="shared" si="67"/>
        <v>8.87513200000003</v>
      </c>
      <c r="I71" s="116">
        <f t="shared" si="67"/>
        <v>8.87513200000003</v>
      </c>
      <c r="J71" s="116">
        <f t="shared" si="67"/>
        <v>9.29775733333337</v>
      </c>
      <c r="K71" s="116">
        <f t="shared" si="67"/>
        <v>7.30893223529414</v>
      </c>
      <c r="L71" s="116">
        <f t="shared" si="67"/>
        <v>7.88900622222225</v>
      </c>
      <c r="M71" s="116">
        <f t="shared" si="67"/>
        <v>6.85931406999997</v>
      </c>
      <c r="N71" s="116">
        <f t="shared" si="67"/>
        <v>8.87513200000003</v>
      </c>
      <c r="O71" s="116">
        <f t="shared" ref="O71:U71" si="68">O70*O41</f>
        <v>8.02988133333336</v>
      </c>
      <c r="P71" s="116">
        <f t="shared" si="68"/>
        <v>0</v>
      </c>
      <c r="Q71" s="116">
        <f t="shared" si="68"/>
        <v>0</v>
      </c>
      <c r="R71" s="116">
        <f t="shared" si="68"/>
        <v>0</v>
      </c>
      <c r="S71" s="116">
        <f t="shared" si="68"/>
        <v>0</v>
      </c>
      <c r="T71" s="116">
        <f t="shared" si="68"/>
        <v>0</v>
      </c>
      <c r="U71" s="116">
        <f t="shared" si="68"/>
        <v>0</v>
      </c>
    </row>
    <row r="72" spans="1:21">
      <c r="A72" s="120" t="s">
        <v>129</v>
      </c>
      <c r="B72" s="116">
        <f t="shared" ref="B72:H72" si="69">(200+B31)*B42*B71*B35</f>
        <v>8233.42445587203</v>
      </c>
      <c r="C72" s="116">
        <f t="shared" si="69"/>
        <v>7378.42192202497</v>
      </c>
      <c r="D72" s="116">
        <f t="shared" si="69"/>
        <v>8345.24481892643</v>
      </c>
      <c r="E72" s="116">
        <f t="shared" si="69"/>
        <v>8233.42445587203</v>
      </c>
      <c r="F72" s="116">
        <f t="shared" si="69"/>
        <v>7378.42192202497</v>
      </c>
      <c r="G72" s="116">
        <f t="shared" si="69"/>
        <v>8345.24481892643</v>
      </c>
      <c r="H72" s="116">
        <f t="shared" si="69"/>
        <v>7105.78568448003</v>
      </c>
      <c r="I72" s="116">
        <f t="shared" ref="I72:N72" si="70">(200+I31)*I42*I71*I35*1.09</f>
        <v>8974.43265690052</v>
      </c>
      <c r="J72" s="116">
        <f t="shared" si="70"/>
        <v>9383.05793439171</v>
      </c>
      <c r="K72" s="116">
        <f t="shared" si="70"/>
        <v>7390.70924685925</v>
      </c>
      <c r="L72" s="116">
        <f t="shared" si="70"/>
        <v>8009.05543882755</v>
      </c>
      <c r="M72" s="116">
        <f t="shared" si="70"/>
        <v>7108.77113474467</v>
      </c>
      <c r="N72" s="116">
        <f t="shared" si="70"/>
        <v>8034.08373707389</v>
      </c>
      <c r="O72" s="116">
        <f t="shared" ref="O72:U72" si="71">(200+O31)*O42*O71*O35*1.09</f>
        <v>8225.17575604611</v>
      </c>
      <c r="P72" s="116" t="e">
        <f t="shared" si="71"/>
        <v>#DIV/0!</v>
      </c>
      <c r="Q72" s="116" t="e">
        <f t="shared" si="71"/>
        <v>#DIV/0!</v>
      </c>
      <c r="R72" s="116" t="e">
        <f t="shared" si="71"/>
        <v>#DIV/0!</v>
      </c>
      <c r="S72" s="116" t="e">
        <f t="shared" si="71"/>
        <v>#DIV/0!</v>
      </c>
      <c r="T72" s="116" t="e">
        <f t="shared" si="71"/>
        <v>#DIV/0!</v>
      </c>
      <c r="U72" s="116" t="e">
        <f t="shared" si="71"/>
        <v>#DIV/0!</v>
      </c>
    </row>
    <row r="73" spans="1:21">
      <c r="A73" s="120" t="s">
        <v>130</v>
      </c>
      <c r="B73" s="116">
        <f t="shared" ref="B73:N73" si="72">B70-B71</f>
        <v>33.3874013333335</v>
      </c>
      <c r="C73" s="116">
        <f t="shared" si="72"/>
        <v>29.3096583333332</v>
      </c>
      <c r="D73" s="116">
        <f t="shared" si="72"/>
        <v>35.0077703333335</v>
      </c>
      <c r="E73" s="116">
        <f t="shared" si="72"/>
        <v>33.3874013333335</v>
      </c>
      <c r="F73" s="116">
        <f t="shared" si="72"/>
        <v>29.3096583333332</v>
      </c>
      <c r="G73" s="116">
        <f t="shared" si="72"/>
        <v>35.0077703333335</v>
      </c>
      <c r="H73" s="116">
        <f t="shared" si="72"/>
        <v>33.3874013333335</v>
      </c>
      <c r="I73" s="116">
        <f t="shared" si="72"/>
        <v>33.3874013333335</v>
      </c>
      <c r="J73" s="116">
        <f t="shared" si="72"/>
        <v>34.9772775873017</v>
      </c>
      <c r="K73" s="116">
        <f t="shared" si="72"/>
        <v>27.4955069803923</v>
      </c>
      <c r="L73" s="116">
        <f t="shared" si="72"/>
        <v>29.6776900740742</v>
      </c>
      <c r="M73" s="116">
        <f t="shared" si="72"/>
        <v>25.8040862633332</v>
      </c>
      <c r="N73" s="116">
        <f t="shared" si="72"/>
        <v>33.3874013333335</v>
      </c>
      <c r="O73" s="116">
        <f t="shared" ref="O73:U73" si="73">O70-O71</f>
        <v>34.2326520000001</v>
      </c>
      <c r="P73" s="116">
        <f t="shared" si="73"/>
        <v>0</v>
      </c>
      <c r="Q73" s="116">
        <f t="shared" si="73"/>
        <v>0</v>
      </c>
      <c r="R73" s="116">
        <f t="shared" si="73"/>
        <v>0</v>
      </c>
      <c r="S73" s="116">
        <f t="shared" si="73"/>
        <v>0</v>
      </c>
      <c r="T73" s="116">
        <f t="shared" si="73"/>
        <v>0</v>
      </c>
      <c r="U73" s="116">
        <f t="shared" si="73"/>
        <v>0</v>
      </c>
    </row>
    <row r="74" spans="1:21">
      <c r="A74" s="120" t="s">
        <v>131</v>
      </c>
      <c r="B74" s="116">
        <f t="shared" ref="B74:H74" si="74">(200+B31)*B73*B35</f>
        <v>20112.5705632001</v>
      </c>
      <c r="C74" s="116">
        <f t="shared" si="74"/>
        <v>18023.9743920833</v>
      </c>
      <c r="D74" s="116">
        <f t="shared" si="74"/>
        <v>20385.7248205067</v>
      </c>
      <c r="E74" s="116">
        <f t="shared" si="74"/>
        <v>20112.5705632001</v>
      </c>
      <c r="F74" s="116">
        <f t="shared" si="74"/>
        <v>18023.9743920833</v>
      </c>
      <c r="G74" s="116">
        <f t="shared" si="74"/>
        <v>20385.7248205067</v>
      </c>
      <c r="H74" s="116">
        <f t="shared" si="74"/>
        <v>19231.1431680001</v>
      </c>
      <c r="I74" s="116">
        <f t="shared" ref="I74:N74" si="75">(200+I31)*I73*I35*1.09</f>
        <v>21922.7019138881</v>
      </c>
      <c r="J74" s="116">
        <f t="shared" si="75"/>
        <v>22920.8898211795</v>
      </c>
      <c r="K74" s="116">
        <f t="shared" si="75"/>
        <v>18053.9898114372</v>
      </c>
      <c r="L74" s="116">
        <f t="shared" si="75"/>
        <v>19564.4829829121</v>
      </c>
      <c r="M74" s="116">
        <f t="shared" si="75"/>
        <v>17365.2727162903</v>
      </c>
      <c r="N74" s="116">
        <f t="shared" si="75"/>
        <v>19625.6219922337</v>
      </c>
      <c r="O74" s="116">
        <f t="shared" ref="O74:U74" si="76">(200+O31)*O73*O35*1.09</f>
        <v>22477.7070256321</v>
      </c>
      <c r="P74" s="116" t="e">
        <f t="shared" si="76"/>
        <v>#DIV/0!</v>
      </c>
      <c r="Q74" s="116" t="e">
        <f t="shared" si="76"/>
        <v>#DIV/0!</v>
      </c>
      <c r="R74" s="116" t="e">
        <f t="shared" si="76"/>
        <v>#DIV/0!</v>
      </c>
      <c r="S74" s="116" t="e">
        <f t="shared" si="76"/>
        <v>#DIV/0!</v>
      </c>
      <c r="T74" s="116" t="e">
        <f t="shared" si="76"/>
        <v>#DIV/0!</v>
      </c>
      <c r="U74" s="116" t="e">
        <f t="shared" si="76"/>
        <v>#DIV/0!</v>
      </c>
    </row>
    <row r="75" spans="1:21">
      <c r="A75" s="120" t="s">
        <v>132</v>
      </c>
      <c r="B75" s="116">
        <f t="shared" ref="B75:N75" si="77">B69-B70</f>
        <v>42.2625333333335</v>
      </c>
      <c r="C75" s="116">
        <f t="shared" si="77"/>
        <v>37.1008333333332</v>
      </c>
      <c r="D75" s="116">
        <f t="shared" si="77"/>
        <v>44.3136333333335</v>
      </c>
      <c r="E75" s="116">
        <f t="shared" si="77"/>
        <v>42.2625333333335</v>
      </c>
      <c r="F75" s="116">
        <f t="shared" si="77"/>
        <v>37.1008333333332</v>
      </c>
      <c r="G75" s="116">
        <f t="shared" si="77"/>
        <v>44.3136333333335</v>
      </c>
      <c r="H75" s="116">
        <f t="shared" si="77"/>
        <v>42.2625333333335</v>
      </c>
      <c r="I75" s="116">
        <f t="shared" si="77"/>
        <v>42.2625333333335</v>
      </c>
      <c r="J75" s="116">
        <f t="shared" si="77"/>
        <v>40.2500317460319</v>
      </c>
      <c r="K75" s="116">
        <f t="shared" si="77"/>
        <v>49.7206274509806</v>
      </c>
      <c r="L75" s="116">
        <f t="shared" si="77"/>
        <v>46.9583703703705</v>
      </c>
      <c r="M75" s="116">
        <f t="shared" si="77"/>
        <v>32.6634003333332</v>
      </c>
      <c r="N75" s="116">
        <f t="shared" si="77"/>
        <v>42.2625333333335</v>
      </c>
      <c r="O75" s="116">
        <f t="shared" ref="O75:U75" si="78">O69-O70</f>
        <v>42.2625333333335</v>
      </c>
      <c r="P75" s="116">
        <f t="shared" si="78"/>
        <v>0</v>
      </c>
      <c r="Q75" s="116">
        <f t="shared" si="78"/>
        <v>0</v>
      </c>
      <c r="R75" s="116">
        <f t="shared" si="78"/>
        <v>0</v>
      </c>
      <c r="S75" s="116">
        <f t="shared" si="78"/>
        <v>0</v>
      </c>
      <c r="T75" s="116">
        <f t="shared" si="78"/>
        <v>0</v>
      </c>
      <c r="U75" s="116">
        <f t="shared" si="78"/>
        <v>0</v>
      </c>
    </row>
    <row r="76" spans="1:21">
      <c r="A76" s="120" t="s">
        <v>133</v>
      </c>
      <c r="B76" s="116">
        <f t="shared" ref="B76:N76" si="79">B75*B41</f>
        <v>8.87513200000003</v>
      </c>
      <c r="C76" s="116">
        <f t="shared" si="79"/>
        <v>7.79117499999997</v>
      </c>
      <c r="D76" s="116">
        <f t="shared" si="79"/>
        <v>9.30586300000003</v>
      </c>
      <c r="E76" s="116">
        <f t="shared" si="79"/>
        <v>8.87513200000003</v>
      </c>
      <c r="F76" s="116">
        <f t="shared" si="79"/>
        <v>7.79117499999997</v>
      </c>
      <c r="G76" s="116">
        <f t="shared" si="79"/>
        <v>9.30586300000003</v>
      </c>
      <c r="H76" s="116">
        <f t="shared" si="79"/>
        <v>8.87513200000003</v>
      </c>
      <c r="I76" s="116">
        <f t="shared" si="79"/>
        <v>8.87513200000003</v>
      </c>
      <c r="J76" s="116">
        <f t="shared" si="79"/>
        <v>8.4525066666667</v>
      </c>
      <c r="K76" s="116">
        <f t="shared" si="79"/>
        <v>10.4413317647059</v>
      </c>
      <c r="L76" s="116">
        <f t="shared" si="79"/>
        <v>9.86125777777781</v>
      </c>
      <c r="M76" s="116">
        <f t="shared" si="79"/>
        <v>6.85931406999997</v>
      </c>
      <c r="N76" s="116">
        <f t="shared" si="79"/>
        <v>8.87513200000003</v>
      </c>
      <c r="O76" s="116">
        <f t="shared" ref="O76:U76" si="80">O75*O41</f>
        <v>8.02988133333336</v>
      </c>
      <c r="P76" s="116">
        <f t="shared" si="80"/>
        <v>0</v>
      </c>
      <c r="Q76" s="116">
        <f t="shared" si="80"/>
        <v>0</v>
      </c>
      <c r="R76" s="116">
        <f t="shared" si="80"/>
        <v>0</v>
      </c>
      <c r="S76" s="116">
        <f t="shared" si="80"/>
        <v>0</v>
      </c>
      <c r="T76" s="116">
        <f t="shared" si="80"/>
        <v>0</v>
      </c>
      <c r="U76" s="116">
        <f t="shared" si="80"/>
        <v>0</v>
      </c>
    </row>
    <row r="77" spans="1:21">
      <c r="A77" s="120" t="s">
        <v>134</v>
      </c>
      <c r="B77" s="116">
        <f t="shared" ref="B77:H77" si="81">(200+B32)*B42*B76*B35</f>
        <v>6183.26896387202</v>
      </c>
      <c r="C77" s="116">
        <f t="shared" si="81"/>
        <v>5541.16546733748</v>
      </c>
      <c r="D77" s="116">
        <f t="shared" si="81"/>
        <v>6267.24561102642</v>
      </c>
      <c r="E77" s="116">
        <f t="shared" si="81"/>
        <v>6183.26896387202</v>
      </c>
      <c r="F77" s="116">
        <f t="shared" si="81"/>
        <v>5541.16546733748</v>
      </c>
      <c r="G77" s="116">
        <f t="shared" si="81"/>
        <v>6267.24561102642</v>
      </c>
      <c r="H77" s="116">
        <f t="shared" si="81"/>
        <v>5521.78762564802</v>
      </c>
      <c r="I77" s="116">
        <f t="shared" ref="I77:N77" si="82">(200+I32)*I42*I76*I35*1.09</f>
        <v>6739.76317062051</v>
      </c>
      <c r="J77" s="116">
        <f t="shared" si="82"/>
        <v>6410.30904064322</v>
      </c>
      <c r="K77" s="116">
        <f t="shared" si="82"/>
        <v>7929.13314190648</v>
      </c>
      <c r="L77" s="116">
        <f t="shared" si="82"/>
        <v>7508.48947390083</v>
      </c>
      <c r="M77" s="116">
        <f t="shared" si="82"/>
        <v>5331.5783510585</v>
      </c>
      <c r="N77" s="116">
        <f t="shared" si="82"/>
        <v>6025.56280280542</v>
      </c>
      <c r="O77" s="116">
        <f t="shared" ref="O77:U77" si="83">(200+O32)*O42*O76*O35*1.09</f>
        <v>6177.0742231661</v>
      </c>
      <c r="P77" s="116" t="e">
        <f t="shared" si="83"/>
        <v>#DIV/0!</v>
      </c>
      <c r="Q77" s="116" t="e">
        <f t="shared" si="83"/>
        <v>#DIV/0!</v>
      </c>
      <c r="R77" s="116" t="e">
        <f t="shared" si="83"/>
        <v>#DIV/0!</v>
      </c>
      <c r="S77" s="116" t="e">
        <f t="shared" si="83"/>
        <v>#DIV/0!</v>
      </c>
      <c r="T77" s="116" t="e">
        <f t="shared" si="83"/>
        <v>#DIV/0!</v>
      </c>
      <c r="U77" s="116" t="e">
        <f t="shared" si="83"/>
        <v>#DIV/0!</v>
      </c>
    </row>
    <row r="78" spans="1:21">
      <c r="A78" s="120" t="s">
        <v>135</v>
      </c>
      <c r="B78" s="116">
        <f t="shared" ref="B78:N78" si="84">B75-B76</f>
        <v>33.3874013333335</v>
      </c>
      <c r="C78" s="116">
        <f t="shared" si="84"/>
        <v>29.3096583333332</v>
      </c>
      <c r="D78" s="116">
        <f t="shared" si="84"/>
        <v>35.0077703333335</v>
      </c>
      <c r="E78" s="116">
        <f t="shared" si="84"/>
        <v>33.3874013333335</v>
      </c>
      <c r="F78" s="116">
        <f t="shared" si="84"/>
        <v>29.3096583333332</v>
      </c>
      <c r="G78" s="116">
        <f t="shared" si="84"/>
        <v>35.0077703333335</v>
      </c>
      <c r="H78" s="116">
        <f t="shared" si="84"/>
        <v>33.3874013333335</v>
      </c>
      <c r="I78" s="116">
        <f t="shared" si="84"/>
        <v>33.3874013333335</v>
      </c>
      <c r="J78" s="116">
        <f t="shared" si="84"/>
        <v>31.7975250793652</v>
      </c>
      <c r="K78" s="116">
        <f t="shared" si="84"/>
        <v>39.2792956862747</v>
      </c>
      <c r="L78" s="116">
        <f t="shared" si="84"/>
        <v>37.0971125925927</v>
      </c>
      <c r="M78" s="116">
        <f t="shared" si="84"/>
        <v>25.8040862633332</v>
      </c>
      <c r="N78" s="116">
        <f t="shared" si="84"/>
        <v>33.3874013333335</v>
      </c>
      <c r="O78" s="116">
        <f t="shared" ref="O78:U78" si="85">O75-O76</f>
        <v>34.2326520000001</v>
      </c>
      <c r="P78" s="116">
        <f t="shared" si="85"/>
        <v>0</v>
      </c>
      <c r="Q78" s="116">
        <f t="shared" si="85"/>
        <v>0</v>
      </c>
      <c r="R78" s="116">
        <f t="shared" si="85"/>
        <v>0</v>
      </c>
      <c r="S78" s="116">
        <f t="shared" si="85"/>
        <v>0</v>
      </c>
      <c r="T78" s="116">
        <f t="shared" si="85"/>
        <v>0</v>
      </c>
      <c r="U78" s="116">
        <f t="shared" si="85"/>
        <v>0</v>
      </c>
    </row>
    <row r="79" spans="1:21">
      <c r="A79" s="120" t="s">
        <v>136</v>
      </c>
      <c r="B79" s="116">
        <f t="shared" ref="B79:H79" si="86">(200+B32)*B78*B35</f>
        <v>15104.4603632001</v>
      </c>
      <c r="C79" s="116">
        <f t="shared" si="86"/>
        <v>13535.9329597916</v>
      </c>
      <c r="D79" s="116">
        <f t="shared" si="86"/>
        <v>15309.5981221734</v>
      </c>
      <c r="E79" s="116">
        <f t="shared" si="86"/>
        <v>15104.4603632001</v>
      </c>
      <c r="F79" s="116">
        <f t="shared" si="86"/>
        <v>13535.9329597916</v>
      </c>
      <c r="G79" s="116">
        <f t="shared" si="86"/>
        <v>15309.5981221734</v>
      </c>
      <c r="H79" s="116">
        <f t="shared" si="86"/>
        <v>14944.2008368001</v>
      </c>
      <c r="I79" s="116">
        <f t="shared" ref="I79:N79" si="87">(200+I32)*I78*I35*1.09</f>
        <v>16463.8617958881</v>
      </c>
      <c r="J79" s="116">
        <f t="shared" si="87"/>
        <v>15659.0727956343</v>
      </c>
      <c r="K79" s="116">
        <f t="shared" si="87"/>
        <v>19369.249171633</v>
      </c>
      <c r="L79" s="116">
        <f t="shared" si="87"/>
        <v>18341.7027964801</v>
      </c>
      <c r="M79" s="116">
        <f t="shared" si="87"/>
        <v>13023.9545372177</v>
      </c>
      <c r="N79" s="116">
        <f t="shared" si="87"/>
        <v>14719.2164941753</v>
      </c>
      <c r="O79" s="116">
        <f t="shared" ref="O79:U79" si="88">(200+O32)*O78*O35*1.09</f>
        <v>16880.6684236321</v>
      </c>
      <c r="P79" s="116" t="e">
        <f t="shared" si="88"/>
        <v>#DIV/0!</v>
      </c>
      <c r="Q79" s="116" t="e">
        <f t="shared" si="88"/>
        <v>#DIV/0!</v>
      </c>
      <c r="R79" s="116" t="e">
        <f t="shared" si="88"/>
        <v>#DIV/0!</v>
      </c>
      <c r="S79" s="116" t="e">
        <f t="shared" si="88"/>
        <v>#DIV/0!</v>
      </c>
      <c r="T79" s="116" t="e">
        <f t="shared" si="88"/>
        <v>#DIV/0!</v>
      </c>
      <c r="U79" s="116" t="e">
        <f t="shared" si="88"/>
        <v>#DIV/0!</v>
      </c>
    </row>
    <row r="80" spans="1:21">
      <c r="A80" s="120" t="s">
        <v>195</v>
      </c>
      <c r="B80" s="116">
        <f t="shared" ref="B80:N80" si="89">SUM(B72,B74,B77,B79)</f>
        <v>49633.7243461442</v>
      </c>
      <c r="C80" s="116">
        <f t="shared" si="89"/>
        <v>44479.4947412373</v>
      </c>
      <c r="D80" s="116">
        <f t="shared" si="89"/>
        <v>50307.813372633</v>
      </c>
      <c r="E80" s="116">
        <f t="shared" si="89"/>
        <v>49633.7243461442</v>
      </c>
      <c r="F80" s="116">
        <f t="shared" si="89"/>
        <v>44479.4947412373</v>
      </c>
      <c r="G80" s="116">
        <f t="shared" si="89"/>
        <v>50307.813372633</v>
      </c>
      <c r="H80" s="116">
        <f t="shared" si="89"/>
        <v>46802.9173149282</v>
      </c>
      <c r="I80" s="116">
        <f t="shared" si="89"/>
        <v>54100.7595372972</v>
      </c>
      <c r="J80" s="116">
        <f t="shared" si="89"/>
        <v>54373.3295918488</v>
      </c>
      <c r="K80" s="116">
        <f t="shared" si="89"/>
        <v>52743.081371836</v>
      </c>
      <c r="L80" s="116">
        <f t="shared" si="89"/>
        <v>53423.7306921205</v>
      </c>
      <c r="M80" s="116">
        <f t="shared" si="89"/>
        <v>42829.5767393112</v>
      </c>
      <c r="N80" s="116">
        <f t="shared" si="89"/>
        <v>48404.4850262882</v>
      </c>
      <c r="O80" s="116">
        <f t="shared" ref="O80:U80" si="90">SUM(O72,O74,O77,O79)</f>
        <v>53760.6254284764</v>
      </c>
      <c r="P80" s="116" t="e">
        <f t="shared" si="90"/>
        <v>#DIV/0!</v>
      </c>
      <c r="Q80" s="116" t="e">
        <f t="shared" si="90"/>
        <v>#DIV/0!</v>
      </c>
      <c r="R80" s="116" t="e">
        <f t="shared" si="90"/>
        <v>#DIV/0!</v>
      </c>
      <c r="S80" s="116" t="e">
        <f t="shared" si="90"/>
        <v>#DIV/0!</v>
      </c>
      <c r="T80" s="116" t="e">
        <f t="shared" si="90"/>
        <v>#DIV/0!</v>
      </c>
      <c r="U80" s="116" t="e">
        <f t="shared" si="90"/>
        <v>#DIV/0!</v>
      </c>
    </row>
    <row r="81" spans="1:21">
      <c r="A81" s="121" t="s">
        <v>196</v>
      </c>
      <c r="B81" s="116"/>
      <c r="C81" s="116"/>
      <c r="D81" s="116"/>
      <c r="E81" s="116"/>
      <c r="F81" s="116"/>
      <c r="G81" s="116"/>
      <c r="H81" s="116"/>
      <c r="I81" s="116"/>
      <c r="J81" s="116"/>
      <c r="K81" s="116"/>
      <c r="L81" s="116"/>
      <c r="M81" s="116"/>
      <c r="N81" s="116"/>
      <c r="O81" s="116"/>
      <c r="P81" s="116"/>
      <c r="Q81" s="116"/>
      <c r="R81" s="116"/>
      <c r="S81" s="116"/>
      <c r="T81" s="116"/>
      <c r="U81" s="116"/>
    </row>
    <row r="82" spans="1:21">
      <c r="A82" s="121" t="s">
        <v>127</v>
      </c>
      <c r="B82" s="116"/>
      <c r="C82" s="116"/>
      <c r="D82" s="116"/>
      <c r="E82" s="116"/>
      <c r="F82" s="116"/>
      <c r="G82" s="116"/>
      <c r="H82" s="116"/>
      <c r="I82" s="116"/>
      <c r="J82" s="116"/>
      <c r="K82" s="116"/>
      <c r="L82" s="116"/>
      <c r="M82" s="116"/>
      <c r="N82" s="116"/>
      <c r="O82" s="116"/>
      <c r="P82" s="116"/>
      <c r="Q82" s="116"/>
      <c r="R82" s="116"/>
      <c r="S82" s="116"/>
      <c r="T82" s="116"/>
      <c r="U82" s="116"/>
    </row>
    <row r="83" spans="1:21">
      <c r="A83" s="121" t="s">
        <v>128</v>
      </c>
      <c r="B83" s="116"/>
      <c r="C83" s="116"/>
      <c r="D83" s="116"/>
      <c r="E83" s="116"/>
      <c r="F83" s="116"/>
      <c r="G83" s="116"/>
      <c r="H83" s="116"/>
      <c r="I83" s="116"/>
      <c r="J83" s="116"/>
      <c r="K83" s="116"/>
      <c r="L83" s="116"/>
      <c r="M83" s="116"/>
      <c r="N83" s="116"/>
      <c r="O83" s="116"/>
      <c r="P83" s="116"/>
      <c r="Q83" s="116"/>
      <c r="R83" s="116"/>
      <c r="S83" s="116"/>
      <c r="T83" s="116"/>
      <c r="U83" s="116"/>
    </row>
    <row r="84" spans="1:21">
      <c r="A84" s="121" t="s">
        <v>129</v>
      </c>
      <c r="B84" s="116"/>
      <c r="C84" s="116"/>
      <c r="D84" s="116"/>
      <c r="E84" s="116"/>
      <c r="F84" s="116"/>
      <c r="G84" s="116"/>
      <c r="H84" s="116"/>
      <c r="I84" s="116"/>
      <c r="J84" s="116"/>
      <c r="K84" s="116"/>
      <c r="L84" s="116"/>
      <c r="M84" s="116"/>
      <c r="N84" s="116"/>
      <c r="O84" s="116"/>
      <c r="P84" s="116"/>
      <c r="Q84" s="116"/>
      <c r="R84" s="116"/>
      <c r="S84" s="116"/>
      <c r="T84" s="116"/>
      <c r="U84" s="116"/>
    </row>
    <row r="85" spans="1:21">
      <c r="A85" s="121" t="s">
        <v>130</v>
      </c>
      <c r="B85" s="116"/>
      <c r="C85" s="116"/>
      <c r="D85" s="116"/>
      <c r="E85" s="116"/>
      <c r="F85" s="116"/>
      <c r="G85" s="116"/>
      <c r="H85" s="116"/>
      <c r="I85" s="116"/>
      <c r="J85" s="116"/>
      <c r="K85" s="116"/>
      <c r="L85" s="116"/>
      <c r="M85" s="116"/>
      <c r="N85" s="116"/>
      <c r="O85" s="116"/>
      <c r="P85" s="116"/>
      <c r="Q85" s="116"/>
      <c r="R85" s="116"/>
      <c r="S85" s="116"/>
      <c r="T85" s="116"/>
      <c r="U85" s="116"/>
    </row>
    <row r="86" spans="1:21">
      <c r="A86" s="121" t="s">
        <v>131</v>
      </c>
      <c r="B86" s="116"/>
      <c r="C86" s="116"/>
      <c r="D86" s="116"/>
      <c r="E86" s="116"/>
      <c r="F86" s="116"/>
      <c r="G86" s="116"/>
      <c r="H86" s="116"/>
      <c r="I86" s="116"/>
      <c r="J86" s="116"/>
      <c r="K86" s="116"/>
      <c r="L86" s="116"/>
      <c r="M86" s="116"/>
      <c r="N86" s="116"/>
      <c r="O86" s="116"/>
      <c r="P86" s="116"/>
      <c r="Q86" s="116"/>
      <c r="R86" s="116"/>
      <c r="S86" s="116"/>
      <c r="T86" s="116"/>
      <c r="U86" s="116"/>
    </row>
    <row r="87" spans="1:21">
      <c r="A87" s="121" t="s">
        <v>132</v>
      </c>
      <c r="B87" s="116"/>
      <c r="C87" s="116"/>
      <c r="D87" s="116"/>
      <c r="E87" s="116"/>
      <c r="F87" s="116"/>
      <c r="G87" s="116"/>
      <c r="H87" s="116"/>
      <c r="I87" s="116"/>
      <c r="J87" s="116"/>
      <c r="K87" s="116"/>
      <c r="L87" s="116"/>
      <c r="M87" s="116"/>
      <c r="N87" s="116"/>
      <c r="O87" s="116"/>
      <c r="P87" s="116"/>
      <c r="Q87" s="116"/>
      <c r="R87" s="116"/>
      <c r="S87" s="116"/>
      <c r="T87" s="116"/>
      <c r="U87" s="116"/>
    </row>
    <row r="88" spans="1:21">
      <c r="A88" s="121" t="s">
        <v>133</v>
      </c>
      <c r="B88" s="116"/>
      <c r="C88" s="116"/>
      <c r="D88" s="116"/>
      <c r="E88" s="116"/>
      <c r="F88" s="116"/>
      <c r="G88" s="116"/>
      <c r="H88" s="116"/>
      <c r="I88" s="116"/>
      <c r="J88" s="116"/>
      <c r="K88" s="116"/>
      <c r="L88" s="116"/>
      <c r="M88" s="116"/>
      <c r="N88" s="116"/>
      <c r="O88" s="116"/>
      <c r="P88" s="116"/>
      <c r="Q88" s="116"/>
      <c r="R88" s="116"/>
      <c r="S88" s="116"/>
      <c r="T88" s="116"/>
      <c r="U88" s="116"/>
    </row>
    <row r="89" spans="1:21">
      <c r="A89" s="121" t="s">
        <v>134</v>
      </c>
      <c r="B89" s="116"/>
      <c r="C89" s="116"/>
      <c r="D89" s="116"/>
      <c r="E89" s="116"/>
      <c r="F89" s="116"/>
      <c r="G89" s="116"/>
      <c r="H89" s="116"/>
      <c r="I89" s="116"/>
      <c r="J89" s="116"/>
      <c r="K89" s="116"/>
      <c r="L89" s="116"/>
      <c r="M89" s="116"/>
      <c r="N89" s="116"/>
      <c r="O89" s="116"/>
      <c r="P89" s="116"/>
      <c r="Q89" s="116"/>
      <c r="R89" s="116"/>
      <c r="S89" s="116"/>
      <c r="T89" s="116"/>
      <c r="U89" s="116"/>
    </row>
    <row r="90" spans="1:21">
      <c r="A90" s="121" t="s">
        <v>135</v>
      </c>
      <c r="B90" s="116"/>
      <c r="C90" s="116"/>
      <c r="D90" s="116"/>
      <c r="E90" s="116"/>
      <c r="F90" s="116"/>
      <c r="G90" s="116"/>
      <c r="H90" s="116"/>
      <c r="I90" s="116"/>
      <c r="J90" s="116"/>
      <c r="K90" s="116"/>
      <c r="L90" s="116"/>
      <c r="M90" s="116"/>
      <c r="N90" s="116"/>
      <c r="O90" s="116"/>
      <c r="P90" s="116"/>
      <c r="Q90" s="116"/>
      <c r="R90" s="116"/>
      <c r="S90" s="116"/>
      <c r="T90" s="116"/>
      <c r="U90" s="116"/>
    </row>
    <row r="91" spans="1:21">
      <c r="A91" s="121" t="s">
        <v>136</v>
      </c>
      <c r="B91" s="116"/>
      <c r="C91" s="116"/>
      <c r="D91" s="116"/>
      <c r="E91" s="116"/>
      <c r="F91" s="116"/>
      <c r="G91" s="116"/>
      <c r="H91" s="116"/>
      <c r="I91" s="116"/>
      <c r="J91" s="116"/>
      <c r="K91" s="116"/>
      <c r="L91" s="116"/>
      <c r="M91" s="116"/>
      <c r="N91" s="116"/>
      <c r="O91" s="116"/>
      <c r="P91" s="116"/>
      <c r="Q91" s="116"/>
      <c r="R91" s="116"/>
      <c r="S91" s="116"/>
      <c r="T91" s="116"/>
      <c r="U91" s="116"/>
    </row>
    <row r="92" spans="1:21">
      <c r="A92" s="121" t="s">
        <v>197</v>
      </c>
      <c r="B92" s="116"/>
      <c r="C92" s="116"/>
      <c r="D92" s="116"/>
      <c r="E92" s="116"/>
      <c r="F92" s="116"/>
      <c r="G92" s="116"/>
      <c r="H92" s="116"/>
      <c r="I92" s="116"/>
      <c r="J92" s="116"/>
      <c r="K92" s="116"/>
      <c r="L92" s="116"/>
      <c r="M92" s="116"/>
      <c r="N92" s="116"/>
      <c r="O92" s="116"/>
      <c r="P92" s="116"/>
      <c r="Q92" s="116"/>
      <c r="R92" s="116"/>
      <c r="S92" s="116"/>
      <c r="T92" s="116"/>
      <c r="U92" s="116"/>
    </row>
    <row r="93" ht="14.25" spans="1:21">
      <c r="A93" s="122" t="s">
        <v>143</v>
      </c>
      <c r="B93" s="123">
        <f t="shared" ref="B93:N93" si="91">SUM(B55,B68,B80,B92)</f>
        <v>525266.153438977</v>
      </c>
      <c r="C93" s="123">
        <f t="shared" si="91"/>
        <v>492468.148009949</v>
      </c>
      <c r="D93" s="123">
        <f t="shared" si="91"/>
        <v>523840.759751012</v>
      </c>
      <c r="E93" s="123">
        <f t="shared" si="91"/>
        <v>763082.367985394</v>
      </c>
      <c r="F93" s="123">
        <f t="shared" si="91"/>
        <v>716462.474644305</v>
      </c>
      <c r="G93" s="123">
        <f t="shared" si="91"/>
        <v>760607.232940202</v>
      </c>
      <c r="H93" s="123">
        <f t="shared" si="91"/>
        <v>810298.585181226</v>
      </c>
      <c r="I93" s="123">
        <f t="shared" si="91"/>
        <v>837655.328431519</v>
      </c>
      <c r="J93" s="123">
        <f t="shared" si="91"/>
        <v>842141.659205405</v>
      </c>
      <c r="K93" s="123">
        <f t="shared" si="91"/>
        <v>814950.820279855</v>
      </c>
      <c r="L93" s="123">
        <f t="shared" si="91"/>
        <v>826469.599682568</v>
      </c>
      <c r="M93" s="123">
        <f t="shared" si="91"/>
        <v>727629.644991129</v>
      </c>
      <c r="N93" s="123">
        <f t="shared" si="91"/>
        <v>749788.799252771</v>
      </c>
      <c r="O93" s="123">
        <f t="shared" ref="O93:U93" si="92">SUM(O55,O68,O80,O92)</f>
        <v>832575.268560605</v>
      </c>
      <c r="P93" s="123" t="e">
        <f t="shared" si="92"/>
        <v>#DIV/0!</v>
      </c>
      <c r="Q93" s="123" t="e">
        <f t="shared" si="92"/>
        <v>#DIV/0!</v>
      </c>
      <c r="R93" s="123" t="e">
        <f t="shared" si="92"/>
        <v>#DIV/0!</v>
      </c>
      <c r="S93" s="123" t="e">
        <f t="shared" si="92"/>
        <v>#DIV/0!</v>
      </c>
      <c r="T93" s="123" t="e">
        <f t="shared" si="92"/>
        <v>#DIV/0!</v>
      </c>
      <c r="U93" s="123" t="e">
        <f t="shared" si="92"/>
        <v>#DIV/0!</v>
      </c>
    </row>
    <row r="95" spans="2:11">
      <c r="B95" s="15" t="s">
        <v>198</v>
      </c>
      <c r="C95" s="15"/>
      <c r="D95" s="15"/>
      <c r="E95" s="15"/>
      <c r="F95" s="15"/>
      <c r="G95" s="15"/>
      <c r="H95" s="15"/>
      <c r="I95" s="15"/>
      <c r="J95" s="15"/>
      <c r="K95" s="15"/>
    </row>
    <row r="96" spans="2:11">
      <c r="B96" s="15"/>
      <c r="C96" s="15"/>
      <c r="D96" s="15"/>
      <c r="E96" s="15"/>
      <c r="F96" s="15"/>
      <c r="G96" s="15"/>
      <c r="H96" s="15"/>
      <c r="I96" s="15"/>
      <c r="J96" s="15"/>
      <c r="K96" s="15"/>
    </row>
    <row r="97" spans="2:11">
      <c r="B97" s="15"/>
      <c r="C97" s="15"/>
      <c r="D97" s="15"/>
      <c r="E97" s="15"/>
      <c r="F97" s="15"/>
      <c r="G97" s="15"/>
      <c r="H97" s="15"/>
      <c r="I97" s="15"/>
      <c r="J97" s="15"/>
      <c r="K97" s="15"/>
    </row>
    <row r="99" spans="2:13">
      <c r="B99" s="105" t="s">
        <v>199</v>
      </c>
      <c r="C99" s="105"/>
      <c r="D99" s="105"/>
      <c r="E99" s="105"/>
      <c r="F99" s="105"/>
      <c r="G99" s="105"/>
      <c r="H99" s="105"/>
      <c r="I99" s="105"/>
      <c r="J99" s="105"/>
      <c r="K99" s="105"/>
      <c r="L99" s="105"/>
      <c r="M99" s="105"/>
    </row>
    <row r="100" spans="2:13">
      <c r="B100" s="105"/>
      <c r="C100" s="105"/>
      <c r="D100" s="105"/>
      <c r="E100" s="105"/>
      <c r="F100" s="105"/>
      <c r="G100" s="105"/>
      <c r="H100" s="105"/>
      <c r="I100" s="105"/>
      <c r="J100" s="105"/>
      <c r="K100" s="105"/>
      <c r="L100" s="105"/>
      <c r="M100" s="105"/>
    </row>
    <row r="101" spans="2:13">
      <c r="B101" s="105"/>
      <c r="C101" s="105"/>
      <c r="D101" s="105"/>
      <c r="E101" s="105"/>
      <c r="F101" s="105"/>
      <c r="G101" s="105"/>
      <c r="H101" s="105"/>
      <c r="I101" s="105"/>
      <c r="J101" s="105"/>
      <c r="K101" s="105"/>
      <c r="L101" s="105"/>
      <c r="M101" s="105"/>
    </row>
    <row r="102" spans="2:13">
      <c r="B102" s="105"/>
      <c r="C102" s="105"/>
      <c r="D102" s="105"/>
      <c r="E102" s="105"/>
      <c r="F102" s="105"/>
      <c r="G102" s="105"/>
      <c r="H102" s="105"/>
      <c r="I102" s="105"/>
      <c r="J102" s="105"/>
      <c r="K102" s="105"/>
      <c r="L102" s="105"/>
      <c r="M102" s="105"/>
    </row>
    <row r="103" spans="2:13">
      <c r="B103" s="105"/>
      <c r="C103" s="105"/>
      <c r="D103" s="105"/>
      <c r="E103" s="105"/>
      <c r="F103" s="105"/>
      <c r="G103" s="105"/>
      <c r="H103" s="105"/>
      <c r="I103" s="105"/>
      <c r="J103" s="105"/>
      <c r="K103" s="105"/>
      <c r="L103" s="105"/>
      <c r="M103" s="105"/>
    </row>
    <row r="104" spans="2:13">
      <c r="B104" s="105"/>
      <c r="C104" s="105"/>
      <c r="D104" s="105"/>
      <c r="E104" s="105"/>
      <c r="F104" s="105"/>
      <c r="G104" s="105"/>
      <c r="H104" s="105"/>
      <c r="I104" s="105"/>
      <c r="J104" s="105"/>
      <c r="K104" s="105"/>
      <c r="L104" s="105"/>
      <c r="M104" s="105"/>
    </row>
    <row r="105" spans="2:13">
      <c r="B105" s="105"/>
      <c r="C105" s="105"/>
      <c r="D105" s="105"/>
      <c r="E105" s="105"/>
      <c r="F105" s="105"/>
      <c r="G105" s="105"/>
      <c r="H105" s="105"/>
      <c r="I105" s="105"/>
      <c r="J105" s="105"/>
      <c r="K105" s="105"/>
      <c r="L105" s="105"/>
      <c r="M105" s="105"/>
    </row>
    <row r="106" spans="2:13">
      <c r="B106" s="105"/>
      <c r="C106" s="105"/>
      <c r="D106" s="105"/>
      <c r="E106" s="105"/>
      <c r="F106" s="105"/>
      <c r="G106" s="105"/>
      <c r="H106" s="105"/>
      <c r="I106" s="105"/>
      <c r="J106" s="105"/>
      <c r="K106" s="105"/>
      <c r="L106" s="105"/>
      <c r="M106" s="105"/>
    </row>
    <row r="113" spans="1:9">
      <c r="A113" s="105" t="s">
        <v>200</v>
      </c>
      <c r="B113" s="15"/>
      <c r="C113" s="15"/>
      <c r="D113" s="15"/>
      <c r="E113" s="15"/>
      <c r="F113" s="15"/>
      <c r="G113" s="15"/>
      <c r="H113" s="15"/>
      <c r="I113" s="15"/>
    </row>
    <row r="114" spans="1:9">
      <c r="A114" s="15"/>
      <c r="B114" s="15"/>
      <c r="C114" s="15"/>
      <c r="D114" s="15"/>
      <c r="E114" s="15"/>
      <c r="F114" s="15"/>
      <c r="G114" s="15"/>
      <c r="H114" s="15"/>
      <c r="I114" s="15"/>
    </row>
    <row r="115" spans="1:9">
      <c r="A115" s="15"/>
      <c r="B115" s="15"/>
      <c r="C115" s="15"/>
      <c r="D115" s="15"/>
      <c r="E115" s="15"/>
      <c r="F115" s="15"/>
      <c r="G115" s="15"/>
      <c r="H115" s="15"/>
      <c r="I115" s="15"/>
    </row>
    <row r="116" spans="1:9">
      <c r="A116" s="15"/>
      <c r="B116" s="15"/>
      <c r="C116" s="15"/>
      <c r="D116" s="15"/>
      <c r="E116" s="15"/>
      <c r="F116" s="15"/>
      <c r="G116" s="15"/>
      <c r="H116" s="15"/>
      <c r="I116" s="15"/>
    </row>
    <row r="117" spans="1:9">
      <c r="A117" s="15"/>
      <c r="B117" s="15"/>
      <c r="C117" s="15"/>
      <c r="D117" s="15"/>
      <c r="E117" s="15"/>
      <c r="F117" s="15"/>
      <c r="G117" s="15"/>
      <c r="H117" s="15"/>
      <c r="I117" s="15"/>
    </row>
    <row r="118" spans="1:9">
      <c r="A118" s="15"/>
      <c r="B118" s="15"/>
      <c r="C118" s="15"/>
      <c r="D118" s="15"/>
      <c r="E118" s="15"/>
      <c r="F118" s="15"/>
      <c r="G118" s="15"/>
      <c r="H118" s="15"/>
      <c r="I118" s="15"/>
    </row>
    <row r="119" spans="1:9">
      <c r="A119" s="15"/>
      <c r="B119" s="15"/>
      <c r="C119" s="15"/>
      <c r="D119" s="15"/>
      <c r="E119" s="15"/>
      <c r="F119" s="15"/>
      <c r="G119" s="15"/>
      <c r="H119" s="15"/>
      <c r="I119" s="15"/>
    </row>
    <row r="120" spans="1:9">
      <c r="A120" s="15"/>
      <c r="B120" s="15"/>
      <c r="C120" s="15"/>
      <c r="D120" s="15"/>
      <c r="E120" s="15"/>
      <c r="F120" s="15"/>
      <c r="G120" s="15"/>
      <c r="H120" s="15"/>
      <c r="I120" s="15"/>
    </row>
    <row r="121" spans="1:9">
      <c r="A121" s="15"/>
      <c r="B121" s="15"/>
      <c r="C121" s="15"/>
      <c r="D121" s="15"/>
      <c r="E121" s="15"/>
      <c r="F121" s="15"/>
      <c r="G121" s="15"/>
      <c r="H121" s="15"/>
      <c r="I121" s="15"/>
    </row>
    <row r="122" spans="1:9">
      <c r="A122" s="15"/>
      <c r="B122" s="15"/>
      <c r="C122" s="15"/>
      <c r="D122" s="15"/>
      <c r="E122" s="15"/>
      <c r="F122" s="15"/>
      <c r="G122" s="15"/>
      <c r="H122" s="15"/>
      <c r="I122" s="15"/>
    </row>
    <row r="125" spans="1:7">
      <c r="A125" t="s">
        <v>118</v>
      </c>
      <c r="B125" t="s">
        <v>201</v>
      </c>
      <c r="C125">
        <v>100</v>
      </c>
      <c r="D125">
        <v>150</v>
      </c>
      <c r="E125">
        <v>200</v>
      </c>
      <c r="F125">
        <v>250</v>
      </c>
      <c r="G125">
        <v>300</v>
      </c>
    </row>
    <row r="126" spans="1:7">
      <c r="A126">
        <v>0.164983333333333</v>
      </c>
      <c r="B126">
        <v>0</v>
      </c>
      <c r="C126">
        <f>($C$125*10+1460)*$A126</f>
        <v>405.858999999999</v>
      </c>
      <c r="D126">
        <f>($D$125*10+1460)*A126</f>
        <v>488.350666666666</v>
      </c>
      <c r="E126">
        <f>($E$125*10+1460)*A126</f>
        <v>570.842333333332</v>
      </c>
      <c r="F126">
        <f>($F$125*10+1460)*A126</f>
        <v>653.333999999999</v>
      </c>
      <c r="G126">
        <f>($G$125*10+1460)*A126</f>
        <v>735.825666666665</v>
      </c>
    </row>
    <row r="127" spans="1:7">
      <c r="A127">
        <v>0.175833333333333</v>
      </c>
      <c r="B127">
        <v>1</v>
      </c>
      <c r="C127">
        <f t="shared" ref="C127:C132" si="93">($C$125*10+1460)*$A127</f>
        <v>432.549999999999</v>
      </c>
      <c r="D127">
        <f t="shared" ref="D127:D132" si="94">($D$125*10+1460)*A127</f>
        <v>520.466666666666</v>
      </c>
      <c r="E127">
        <f t="shared" ref="E127:E132" si="95">($E$125*10+1460)*A127</f>
        <v>608.383333333332</v>
      </c>
      <c r="F127">
        <f t="shared" ref="F127:F132" si="96">($F$125*10+1460)*A127</f>
        <v>696.299999999999</v>
      </c>
      <c r="G127">
        <f t="shared" ref="G127:G132" si="97">($G$125*10+1460)*A127</f>
        <v>784.216666666665</v>
      </c>
    </row>
    <row r="128" spans="1:7">
      <c r="A128">
        <v>0.187666666666667</v>
      </c>
      <c r="B128">
        <v>2</v>
      </c>
      <c r="C128">
        <f t="shared" si="93"/>
        <v>461.660000000001</v>
      </c>
      <c r="D128">
        <f t="shared" si="94"/>
        <v>555.493333333334</v>
      </c>
      <c r="E128">
        <f t="shared" si="95"/>
        <v>649.326666666668</v>
      </c>
      <c r="F128">
        <f t="shared" si="96"/>
        <v>743.160000000001</v>
      </c>
      <c r="G128">
        <f t="shared" si="97"/>
        <v>836.993333333335</v>
      </c>
    </row>
    <row r="129" spans="1:7">
      <c r="A129">
        <v>0.192166666666667</v>
      </c>
      <c r="B129">
        <v>3</v>
      </c>
      <c r="C129">
        <f t="shared" si="93"/>
        <v>472.730000000001</v>
      </c>
      <c r="D129">
        <f t="shared" si="94"/>
        <v>568.813333333334</v>
      </c>
      <c r="E129">
        <f t="shared" si="95"/>
        <v>664.896666666668</v>
      </c>
      <c r="F129">
        <f t="shared" si="96"/>
        <v>760.980000000001</v>
      </c>
      <c r="G129">
        <f t="shared" si="97"/>
        <v>857.063333333335</v>
      </c>
    </row>
    <row r="130" spans="1:7">
      <c r="A130">
        <v>0.196</v>
      </c>
      <c r="B130">
        <v>4</v>
      </c>
      <c r="C130">
        <f t="shared" si="93"/>
        <v>482.16</v>
      </c>
      <c r="D130">
        <f t="shared" si="94"/>
        <v>580.16</v>
      </c>
      <c r="E130">
        <f t="shared" si="95"/>
        <v>678.16</v>
      </c>
      <c r="F130">
        <f t="shared" si="96"/>
        <v>776.16</v>
      </c>
      <c r="G130">
        <f t="shared" si="97"/>
        <v>874.16</v>
      </c>
    </row>
    <row r="131" spans="1:7">
      <c r="A131">
        <v>0.198666666666667</v>
      </c>
      <c r="B131">
        <v>5</v>
      </c>
      <c r="C131">
        <f t="shared" si="93"/>
        <v>488.720000000001</v>
      </c>
      <c r="D131">
        <f t="shared" si="94"/>
        <v>588.053333333334</v>
      </c>
      <c r="E131">
        <f t="shared" si="95"/>
        <v>687.386666666668</v>
      </c>
      <c r="F131">
        <f t="shared" si="96"/>
        <v>786.720000000001</v>
      </c>
      <c r="G131">
        <f t="shared" si="97"/>
        <v>886.053333333335</v>
      </c>
    </row>
    <row r="132" spans="1:7">
      <c r="A132">
        <v>0.202666666666667</v>
      </c>
      <c r="B132">
        <v>6</v>
      </c>
      <c r="C132">
        <f t="shared" si="93"/>
        <v>498.560000000001</v>
      </c>
      <c r="D132">
        <f t="shared" si="94"/>
        <v>599.893333333334</v>
      </c>
      <c r="E132">
        <f t="shared" si="95"/>
        <v>701.226666666668</v>
      </c>
      <c r="F132">
        <f t="shared" si="96"/>
        <v>802.560000000001</v>
      </c>
      <c r="G132">
        <f t="shared" si="97"/>
        <v>903.893333333335</v>
      </c>
    </row>
    <row r="133" spans="2:2">
      <c r="B133">
        <v>7</v>
      </c>
    </row>
    <row r="134" spans="2:2">
      <c r="B134">
        <v>8</v>
      </c>
    </row>
    <row r="135" spans="2:2">
      <c r="B135">
        <v>9</v>
      </c>
    </row>
    <row r="136" spans="2:2">
      <c r="B136">
        <v>10</v>
      </c>
    </row>
    <row r="150" spans="5:11">
      <c r="E150" s="15" t="s">
        <v>202</v>
      </c>
      <c r="F150" s="15"/>
      <c r="G150" s="15"/>
      <c r="H150" s="15"/>
      <c r="I150" s="15"/>
      <c r="J150" s="15"/>
      <c r="K150" s="15"/>
    </row>
    <row r="151" spans="6:11">
      <c r="F151">
        <v>50</v>
      </c>
      <c r="G151">
        <v>100</v>
      </c>
      <c r="H151">
        <v>150</v>
      </c>
      <c r="I151">
        <v>200</v>
      </c>
      <c r="J151">
        <v>250</v>
      </c>
      <c r="K151">
        <v>300</v>
      </c>
    </row>
    <row r="152" spans="4:11">
      <c r="D152" t="s">
        <v>203</v>
      </c>
      <c r="E152" t="s">
        <v>204</v>
      </c>
      <c r="F152">
        <f t="shared" ref="F152:K152" si="98">85+F151</f>
        <v>135</v>
      </c>
      <c r="G152">
        <f t="shared" si="98"/>
        <v>185</v>
      </c>
      <c r="H152">
        <f t="shared" si="98"/>
        <v>235</v>
      </c>
      <c r="I152">
        <f t="shared" si="98"/>
        <v>285</v>
      </c>
      <c r="J152">
        <f t="shared" si="98"/>
        <v>335</v>
      </c>
      <c r="K152">
        <f t="shared" si="98"/>
        <v>385</v>
      </c>
    </row>
    <row r="153" spans="4:11">
      <c r="D153">
        <v>120</v>
      </c>
      <c r="E153" t="s">
        <v>205</v>
      </c>
      <c r="F153">
        <f t="shared" ref="F153:K153" si="99">120+F151</f>
        <v>170</v>
      </c>
      <c r="G153">
        <f t="shared" si="99"/>
        <v>220</v>
      </c>
      <c r="H153">
        <f t="shared" si="99"/>
        <v>270</v>
      </c>
      <c r="I153">
        <f t="shared" si="99"/>
        <v>320</v>
      </c>
      <c r="J153">
        <f t="shared" si="99"/>
        <v>370</v>
      </c>
      <c r="K153">
        <f t="shared" si="99"/>
        <v>420</v>
      </c>
    </row>
    <row r="154" spans="4:11">
      <c r="D154" s="1">
        <v>70</v>
      </c>
      <c r="E154" t="s">
        <v>206</v>
      </c>
      <c r="F154" s="1">
        <f t="shared" ref="F154:K154" si="100">70+F151</f>
        <v>120</v>
      </c>
      <c r="G154" s="1">
        <f t="shared" si="100"/>
        <v>170</v>
      </c>
      <c r="H154" s="1">
        <f t="shared" si="100"/>
        <v>220</v>
      </c>
      <c r="I154" s="1">
        <f t="shared" si="100"/>
        <v>270</v>
      </c>
      <c r="J154" s="1">
        <f t="shared" si="100"/>
        <v>320</v>
      </c>
      <c r="K154" s="1">
        <f t="shared" si="100"/>
        <v>370</v>
      </c>
    </row>
    <row r="155" spans="2:11">
      <c r="B155" s="124"/>
      <c r="D155" s="1"/>
      <c r="E155" s="1" t="s">
        <v>207</v>
      </c>
      <c r="F155" s="1">
        <f t="shared" ref="F155:K155" si="101">F154*1.5</f>
        <v>180</v>
      </c>
      <c r="G155" s="1">
        <f t="shared" si="101"/>
        <v>255</v>
      </c>
      <c r="H155" s="1">
        <f t="shared" si="101"/>
        <v>330</v>
      </c>
      <c r="I155" s="1">
        <f t="shared" si="101"/>
        <v>405</v>
      </c>
      <c r="J155" s="1">
        <f t="shared" si="101"/>
        <v>480</v>
      </c>
      <c r="K155" s="1">
        <f t="shared" si="101"/>
        <v>555</v>
      </c>
    </row>
    <row r="156" spans="2:11">
      <c r="B156" s="2"/>
      <c r="D156" s="1"/>
      <c r="E156" s="1" t="s">
        <v>208</v>
      </c>
      <c r="F156" s="1">
        <f t="shared" ref="F156:K156" si="102">200+F151</f>
        <v>250</v>
      </c>
      <c r="G156" s="1">
        <f t="shared" si="102"/>
        <v>300</v>
      </c>
      <c r="H156" s="1">
        <f t="shared" si="102"/>
        <v>350</v>
      </c>
      <c r="I156" s="1">
        <f t="shared" si="102"/>
        <v>400</v>
      </c>
      <c r="J156" s="1">
        <f t="shared" si="102"/>
        <v>450</v>
      </c>
      <c r="K156" s="1">
        <f t="shared" si="102"/>
        <v>500</v>
      </c>
    </row>
    <row r="157" spans="4:4">
      <c r="D157" s="1"/>
    </row>
    <row r="158" spans="2:4">
      <c r="B158" t="s">
        <v>209</v>
      </c>
      <c r="D158" s="1"/>
    </row>
    <row r="159" spans="1:4">
      <c r="A159" t="s">
        <v>210</v>
      </c>
      <c r="B159" s="2" t="s">
        <v>211</v>
      </c>
      <c r="D159" s="1"/>
    </row>
    <row r="160" spans="1:4">
      <c r="A160" t="s">
        <v>212</v>
      </c>
      <c r="B160" s="2" t="s">
        <v>213</v>
      </c>
      <c r="D160" s="1"/>
    </row>
    <row r="161" spans="1:8">
      <c r="A161" t="s">
        <v>214</v>
      </c>
      <c r="B161" s="24" t="s">
        <v>215</v>
      </c>
      <c r="C161" s="81" t="s">
        <v>216</v>
      </c>
      <c r="D161" s="81"/>
      <c r="E161" s="81"/>
      <c r="F161" s="81"/>
      <c r="G161" s="81"/>
      <c r="H161" s="81"/>
    </row>
    <row r="162" spans="1:8">
      <c r="A162" t="s">
        <v>206</v>
      </c>
      <c r="B162" s="24" t="s">
        <v>217</v>
      </c>
      <c r="C162" s="81"/>
      <c r="D162" s="81"/>
      <c r="E162" s="81"/>
      <c r="F162" s="81"/>
      <c r="G162" s="81"/>
      <c r="H162" s="81"/>
    </row>
    <row r="163" spans="1:8">
      <c r="A163" t="s">
        <v>218</v>
      </c>
      <c r="B163" s="24">
        <v>100</v>
      </c>
      <c r="C163" s="81"/>
      <c r="D163" s="81"/>
      <c r="E163" s="81"/>
      <c r="F163" s="81"/>
      <c r="G163" s="81"/>
      <c r="H163" s="81"/>
    </row>
    <row r="164" spans="1:8">
      <c r="A164" t="s">
        <v>208</v>
      </c>
      <c r="B164" s="24">
        <v>200</v>
      </c>
      <c r="C164" s="81"/>
      <c r="D164" s="81"/>
      <c r="E164" s="81"/>
      <c r="F164" s="81"/>
      <c r="G164" s="81"/>
      <c r="H164" s="81"/>
    </row>
    <row r="165" spans="1:11">
      <c r="A165" t="s">
        <v>219</v>
      </c>
      <c r="B165" s="24">
        <v>10</v>
      </c>
      <c r="C165" s="125"/>
      <c r="D165" s="125"/>
      <c r="E165" s="125"/>
      <c r="F165" s="125"/>
      <c r="G165" s="125"/>
      <c r="H165" s="1"/>
      <c r="I165" s="1"/>
      <c r="J165" s="1"/>
      <c r="K165" s="1"/>
    </row>
    <row r="166" spans="1:11">
      <c r="A166" t="s">
        <v>220</v>
      </c>
      <c r="B166" s="126" t="s">
        <v>221</v>
      </c>
      <c r="C166" s="81" t="s">
        <v>222</v>
      </c>
      <c r="D166" s="81"/>
      <c r="E166" s="81"/>
      <c r="F166" s="81"/>
      <c r="G166" s="81"/>
      <c r="H166" s="81"/>
      <c r="I166" s="1"/>
      <c r="J166" s="1"/>
      <c r="K166" s="1"/>
    </row>
    <row r="167" spans="2:21">
      <c r="B167" s="127" t="s">
        <v>223</v>
      </c>
      <c r="C167" s="81"/>
      <c r="D167" s="81"/>
      <c r="E167" s="81"/>
      <c r="F167" s="81"/>
      <c r="G167" s="81"/>
      <c r="H167" s="81"/>
      <c r="O167" s="81" t="s">
        <v>224</v>
      </c>
      <c r="P167" s="81"/>
      <c r="Q167" s="81"/>
      <c r="R167" s="81"/>
      <c r="S167" s="81"/>
      <c r="T167" s="81"/>
      <c r="U167" s="81"/>
    </row>
    <row r="168" spans="1:21">
      <c r="A168" s="81" t="s">
        <v>225</v>
      </c>
      <c r="B168" s="81"/>
      <c r="C168" s="81"/>
      <c r="D168" s="81"/>
      <c r="E168" s="81"/>
      <c r="F168" s="81"/>
      <c r="G168" s="81"/>
      <c r="H168" s="81"/>
      <c r="O168" s="81"/>
      <c r="P168" s="81"/>
      <c r="Q168" s="81"/>
      <c r="R168" s="81"/>
      <c r="S168" s="81"/>
      <c r="T168" s="81"/>
      <c r="U168" s="81"/>
    </row>
    <row r="169" spans="1:21">
      <c r="A169" s="81"/>
      <c r="B169" s="81"/>
      <c r="C169" s="81"/>
      <c r="D169" s="81"/>
      <c r="E169" s="81"/>
      <c r="F169" s="81"/>
      <c r="G169" s="81"/>
      <c r="H169" s="81"/>
      <c r="O169" s="81"/>
      <c r="P169" s="81"/>
      <c r="Q169" s="81"/>
      <c r="R169" s="81"/>
      <c r="S169" s="81"/>
      <c r="T169" s="81"/>
      <c r="U169" s="81"/>
    </row>
    <row r="170" spans="1:21">
      <c r="A170" s="81"/>
      <c r="B170" s="81"/>
      <c r="C170" s="81"/>
      <c r="D170" s="81"/>
      <c r="E170" s="81"/>
      <c r="F170" s="81"/>
      <c r="G170" s="81"/>
      <c r="H170" s="81"/>
      <c r="O170" s="81"/>
      <c r="P170" s="81"/>
      <c r="Q170" s="81"/>
      <c r="R170" s="81"/>
      <c r="S170" s="81"/>
      <c r="T170" s="81"/>
      <c r="U170" s="81"/>
    </row>
    <row r="171" spans="1:21">
      <c r="A171" s="81"/>
      <c r="B171" s="81"/>
      <c r="C171" s="81"/>
      <c r="D171" s="81"/>
      <c r="E171" s="81"/>
      <c r="F171" s="81"/>
      <c r="G171" s="81"/>
      <c r="H171" s="81"/>
      <c r="O171" s="81"/>
      <c r="P171" s="81"/>
      <c r="Q171" s="81"/>
      <c r="R171" s="81"/>
      <c r="S171" s="81"/>
      <c r="T171" s="81"/>
      <c r="U171" s="81"/>
    </row>
    <row r="172" spans="1:21">
      <c r="A172" s="81"/>
      <c r="B172" s="81"/>
      <c r="C172" s="81"/>
      <c r="D172" s="81"/>
      <c r="E172" s="81"/>
      <c r="F172" s="81"/>
      <c r="G172" s="81"/>
      <c r="H172" s="81"/>
      <c r="O172" s="81"/>
      <c r="P172" s="81"/>
      <c r="Q172" s="81"/>
      <c r="R172" s="81"/>
      <c r="S172" s="81"/>
      <c r="T172" s="81"/>
      <c r="U172" s="81"/>
    </row>
    <row r="173" spans="1:21">
      <c r="A173" s="81"/>
      <c r="B173" s="81"/>
      <c r="C173" s="81"/>
      <c r="D173" s="81"/>
      <c r="E173" s="81"/>
      <c r="F173" s="81"/>
      <c r="G173" s="81"/>
      <c r="H173" s="81"/>
      <c r="O173" s="81"/>
      <c r="P173" s="81"/>
      <c r="Q173" s="81"/>
      <c r="R173" s="81"/>
      <c r="S173" s="81"/>
      <c r="T173" s="81"/>
      <c r="U173" s="81"/>
    </row>
    <row r="174" spans="1:21">
      <c r="A174" s="81"/>
      <c r="B174" s="81"/>
      <c r="C174" s="81"/>
      <c r="D174" s="81"/>
      <c r="E174" s="81"/>
      <c r="F174" s="81"/>
      <c r="G174" s="81"/>
      <c r="H174" s="81"/>
      <c r="O174" s="81"/>
      <c r="P174" s="81"/>
      <c r="Q174" s="81"/>
      <c r="R174" s="81"/>
      <c r="S174" s="81"/>
      <c r="T174" s="81"/>
      <c r="U174" s="81"/>
    </row>
    <row r="175" spans="1:8">
      <c r="A175" s="81"/>
      <c r="B175" s="81"/>
      <c r="C175" s="81"/>
      <c r="D175" s="81"/>
      <c r="E175" s="81"/>
      <c r="F175" s="81"/>
      <c r="G175" s="81"/>
      <c r="H175" s="81"/>
    </row>
    <row r="178" spans="4:6">
      <c r="D178" s="15" t="s">
        <v>220</v>
      </c>
      <c r="E178" s="15"/>
      <c r="F178" s="15"/>
    </row>
    <row r="179" spans="2:6">
      <c r="B179" t="s">
        <v>214</v>
      </c>
      <c r="C179" t="s">
        <v>206</v>
      </c>
      <c r="D179" t="s">
        <v>226</v>
      </c>
      <c r="E179" t="s">
        <v>227</v>
      </c>
      <c r="F179" t="s">
        <v>228</v>
      </c>
    </row>
    <row r="180" spans="1:6">
      <c r="A180">
        <v>1</v>
      </c>
      <c r="B180">
        <v>194</v>
      </c>
      <c r="C180">
        <v>112</v>
      </c>
      <c r="D180">
        <v>149</v>
      </c>
      <c r="E180">
        <v>153</v>
      </c>
      <c r="F180">
        <v>148</v>
      </c>
    </row>
    <row r="181" spans="1:6">
      <c r="A181">
        <v>2</v>
      </c>
      <c r="B181">
        <v>91</v>
      </c>
      <c r="C181">
        <v>84</v>
      </c>
      <c r="D181">
        <v>165</v>
      </c>
      <c r="E181">
        <v>164</v>
      </c>
      <c r="F181">
        <v>165</v>
      </c>
    </row>
    <row r="182" spans="1:6">
      <c r="A182">
        <v>3</v>
      </c>
      <c r="B182">
        <v>139</v>
      </c>
      <c r="C182">
        <v>97</v>
      </c>
      <c r="D182">
        <v>159</v>
      </c>
      <c r="E182">
        <v>157</v>
      </c>
      <c r="F182">
        <v>159</v>
      </c>
    </row>
    <row r="183" spans="1:6">
      <c r="A183">
        <v>4</v>
      </c>
      <c r="B183">
        <v>138</v>
      </c>
      <c r="C183">
        <v>96</v>
      </c>
      <c r="D183">
        <v>160</v>
      </c>
      <c r="E183">
        <v>156</v>
      </c>
      <c r="F183">
        <v>162</v>
      </c>
    </row>
    <row r="184" spans="1:6">
      <c r="A184">
        <v>5</v>
      </c>
      <c r="B184">
        <v>106</v>
      </c>
      <c r="C184">
        <v>103</v>
      </c>
      <c r="D184">
        <v>158</v>
      </c>
      <c r="E184">
        <v>158</v>
      </c>
      <c r="F184">
        <v>157</v>
      </c>
    </row>
    <row r="185" spans="1:6">
      <c r="A185">
        <v>6</v>
      </c>
      <c r="B185">
        <v>139</v>
      </c>
      <c r="C185">
        <v>84</v>
      </c>
      <c r="D185">
        <v>167</v>
      </c>
      <c r="E185">
        <v>167</v>
      </c>
      <c r="F185">
        <v>166</v>
      </c>
    </row>
    <row r="186" spans="1:6">
      <c r="A186">
        <v>7</v>
      </c>
      <c r="B186">
        <v>99</v>
      </c>
      <c r="C186">
        <v>63</v>
      </c>
      <c r="D186">
        <v>153</v>
      </c>
      <c r="E186">
        <v>155</v>
      </c>
      <c r="F186">
        <v>152</v>
      </c>
    </row>
    <row r="187" spans="1:6">
      <c r="A187">
        <v>8</v>
      </c>
      <c r="B187">
        <v>103</v>
      </c>
      <c r="C187">
        <v>66</v>
      </c>
      <c r="D187">
        <v>169</v>
      </c>
      <c r="E187">
        <v>166</v>
      </c>
      <c r="F187">
        <v>167</v>
      </c>
    </row>
    <row r="188" spans="1:6">
      <c r="A188">
        <v>9</v>
      </c>
      <c r="B188">
        <v>170</v>
      </c>
      <c r="C188">
        <v>91</v>
      </c>
      <c r="D188">
        <v>157</v>
      </c>
      <c r="E188">
        <v>163</v>
      </c>
      <c r="F188">
        <v>153</v>
      </c>
    </row>
    <row r="189" spans="1:6">
      <c r="A189">
        <v>10</v>
      </c>
      <c r="B189">
        <v>135</v>
      </c>
      <c r="C189">
        <v>89</v>
      </c>
      <c r="D189">
        <v>160</v>
      </c>
      <c r="E189">
        <v>158</v>
      </c>
      <c r="F189">
        <v>158</v>
      </c>
    </row>
    <row r="190" spans="1:6">
      <c r="A190">
        <v>11</v>
      </c>
      <c r="B190">
        <v>138</v>
      </c>
      <c r="C190">
        <v>113</v>
      </c>
      <c r="D190">
        <v>149</v>
      </c>
      <c r="E190">
        <v>147</v>
      </c>
      <c r="F190">
        <v>149</v>
      </c>
    </row>
    <row r="191" spans="1:6">
      <c r="A191">
        <v>12</v>
      </c>
      <c r="B191">
        <v>59</v>
      </c>
      <c r="C191">
        <v>72</v>
      </c>
      <c r="D191">
        <v>155</v>
      </c>
      <c r="E191">
        <v>162</v>
      </c>
      <c r="F191">
        <v>146</v>
      </c>
    </row>
    <row r="192" spans="1:6">
      <c r="A192">
        <v>13</v>
      </c>
      <c r="B192">
        <v>103</v>
      </c>
      <c r="C192">
        <v>64</v>
      </c>
      <c r="D192">
        <v>167</v>
      </c>
      <c r="E192">
        <v>163</v>
      </c>
      <c r="F192">
        <v>140</v>
      </c>
    </row>
    <row r="193" spans="1:6">
      <c r="A193">
        <v>14</v>
      </c>
      <c r="B193">
        <v>186</v>
      </c>
      <c r="C193">
        <v>63</v>
      </c>
      <c r="D193">
        <v>153</v>
      </c>
      <c r="E193">
        <v>146</v>
      </c>
      <c r="F193">
        <v>151</v>
      </c>
    </row>
    <row r="194" spans="1:6">
      <c r="A194">
        <v>15</v>
      </c>
      <c r="B194">
        <v>215</v>
      </c>
      <c r="C194">
        <v>79</v>
      </c>
      <c r="D194">
        <v>173</v>
      </c>
      <c r="E194">
        <v>158</v>
      </c>
      <c r="F194">
        <v>164</v>
      </c>
    </row>
    <row r="195" spans="1:6">
      <c r="A195">
        <v>16</v>
      </c>
      <c r="B195">
        <v>138</v>
      </c>
      <c r="C195">
        <v>64</v>
      </c>
      <c r="D195">
        <v>152</v>
      </c>
      <c r="E195">
        <v>149</v>
      </c>
      <c r="F195">
        <v>154</v>
      </c>
    </row>
    <row r="196" spans="1:6">
      <c r="A196">
        <v>17</v>
      </c>
      <c r="B196">
        <v>186</v>
      </c>
      <c r="C196">
        <v>96</v>
      </c>
      <c r="D196">
        <v>158</v>
      </c>
      <c r="E196">
        <v>159</v>
      </c>
      <c r="F196">
        <v>158</v>
      </c>
    </row>
    <row r="197" spans="1:6">
      <c r="A197">
        <v>18</v>
      </c>
      <c r="B197">
        <v>115</v>
      </c>
      <c r="C197">
        <v>82</v>
      </c>
      <c r="D197">
        <v>163</v>
      </c>
      <c r="E197">
        <v>170</v>
      </c>
      <c r="F197">
        <v>165</v>
      </c>
    </row>
    <row r="198" spans="1:6">
      <c r="A198">
        <v>19</v>
      </c>
      <c r="B198">
        <v>122</v>
      </c>
      <c r="C198">
        <v>64</v>
      </c>
      <c r="D198">
        <v>157</v>
      </c>
      <c r="E198">
        <v>158</v>
      </c>
      <c r="F198">
        <v>156</v>
      </c>
    </row>
    <row r="199" spans="1:6">
      <c r="A199">
        <v>20</v>
      </c>
      <c r="B199">
        <v>94</v>
      </c>
      <c r="C199">
        <v>82</v>
      </c>
      <c r="D199">
        <v>158</v>
      </c>
      <c r="E199">
        <v>163</v>
      </c>
      <c r="F199">
        <v>154</v>
      </c>
    </row>
    <row r="200" spans="1:6">
      <c r="A200">
        <v>21</v>
      </c>
      <c r="B200">
        <v>95</v>
      </c>
      <c r="C200">
        <v>93</v>
      </c>
      <c r="D200">
        <v>146</v>
      </c>
      <c r="E200">
        <v>161</v>
      </c>
      <c r="F200">
        <v>150</v>
      </c>
    </row>
    <row r="201" spans="1:6">
      <c r="A201">
        <v>22</v>
      </c>
      <c r="B201">
        <v>118</v>
      </c>
      <c r="C201">
        <v>73</v>
      </c>
      <c r="D201">
        <v>164</v>
      </c>
      <c r="E201">
        <v>164</v>
      </c>
      <c r="F201">
        <v>165</v>
      </c>
    </row>
    <row r="202" spans="1:6">
      <c r="A202">
        <v>23</v>
      </c>
      <c r="B202">
        <v>66</v>
      </c>
      <c r="C202">
        <v>86</v>
      </c>
      <c r="D202">
        <v>174</v>
      </c>
      <c r="E202">
        <v>169</v>
      </c>
      <c r="F202">
        <v>161</v>
      </c>
    </row>
    <row r="203" spans="1:6">
      <c r="A203">
        <v>24</v>
      </c>
      <c r="B203">
        <v>106</v>
      </c>
      <c r="C203">
        <v>87</v>
      </c>
      <c r="D203">
        <v>154</v>
      </c>
      <c r="E203">
        <v>159</v>
      </c>
      <c r="F203">
        <v>154</v>
      </c>
    </row>
    <row r="204" spans="1:6">
      <c r="A204">
        <v>25</v>
      </c>
      <c r="B204">
        <v>71</v>
      </c>
      <c r="C204">
        <v>79</v>
      </c>
      <c r="D204">
        <v>148</v>
      </c>
      <c r="E204">
        <v>146</v>
      </c>
      <c r="F204">
        <v>152</v>
      </c>
    </row>
    <row r="205" spans="1:6">
      <c r="A205">
        <v>26</v>
      </c>
      <c r="B205">
        <v>175</v>
      </c>
      <c r="C205">
        <v>77</v>
      </c>
      <c r="D205">
        <v>154</v>
      </c>
      <c r="E205">
        <v>155</v>
      </c>
      <c r="F205">
        <v>157</v>
      </c>
    </row>
    <row r="206" spans="1:6">
      <c r="A206">
        <v>27</v>
      </c>
      <c r="B206">
        <v>174</v>
      </c>
      <c r="C206">
        <v>83</v>
      </c>
      <c r="D206">
        <v>163</v>
      </c>
      <c r="E206">
        <v>167</v>
      </c>
      <c r="F206">
        <v>162</v>
      </c>
    </row>
    <row r="207" spans="1:6">
      <c r="A207">
        <v>28</v>
      </c>
      <c r="B207">
        <v>103</v>
      </c>
      <c r="C207">
        <v>84</v>
      </c>
      <c r="D207">
        <v>174</v>
      </c>
      <c r="E207">
        <v>166</v>
      </c>
      <c r="F207">
        <v>161</v>
      </c>
    </row>
    <row r="208" spans="1:6">
      <c r="A208">
        <v>29</v>
      </c>
      <c r="B208">
        <v>82</v>
      </c>
      <c r="C208">
        <v>106</v>
      </c>
      <c r="D208">
        <v>151</v>
      </c>
      <c r="E208">
        <v>158</v>
      </c>
      <c r="F208">
        <v>163</v>
      </c>
    </row>
    <row r="209" spans="1:6">
      <c r="A209">
        <v>30</v>
      </c>
      <c r="B209">
        <v>91</v>
      </c>
      <c r="C209">
        <v>109</v>
      </c>
      <c r="D209">
        <v>161</v>
      </c>
      <c r="E209">
        <v>160</v>
      </c>
      <c r="F209">
        <v>160</v>
      </c>
    </row>
    <row r="210" spans="1:6">
      <c r="A210">
        <v>31</v>
      </c>
      <c r="B210">
        <v>202</v>
      </c>
      <c r="C210">
        <v>81</v>
      </c>
      <c r="D210">
        <v>164</v>
      </c>
      <c r="E210">
        <v>167</v>
      </c>
      <c r="F210">
        <v>171</v>
      </c>
    </row>
    <row r="211" spans="1:6">
      <c r="A211">
        <v>32</v>
      </c>
      <c r="B211">
        <v>214</v>
      </c>
      <c r="C211">
        <v>94</v>
      </c>
      <c r="D211">
        <v>165</v>
      </c>
      <c r="E211">
        <v>156</v>
      </c>
      <c r="F211">
        <v>161</v>
      </c>
    </row>
    <row r="212" spans="1:6">
      <c r="A212">
        <v>33</v>
      </c>
      <c r="B212">
        <v>118</v>
      </c>
      <c r="C212">
        <v>63</v>
      </c>
      <c r="D212">
        <v>151</v>
      </c>
      <c r="E212">
        <v>152</v>
      </c>
      <c r="F212">
        <v>154</v>
      </c>
    </row>
    <row r="213" spans="1:6">
      <c r="A213">
        <v>34</v>
      </c>
      <c r="B213">
        <v>166</v>
      </c>
      <c r="C213">
        <v>84</v>
      </c>
      <c r="D213">
        <v>165</v>
      </c>
      <c r="E213">
        <v>167</v>
      </c>
      <c r="F213">
        <v>167</v>
      </c>
    </row>
    <row r="214" spans="1:6">
      <c r="A214">
        <v>35</v>
      </c>
      <c r="B214">
        <v>115</v>
      </c>
      <c r="C214">
        <v>73</v>
      </c>
      <c r="D214">
        <v>160</v>
      </c>
      <c r="E214">
        <v>163</v>
      </c>
      <c r="F214">
        <v>167</v>
      </c>
    </row>
    <row r="215" spans="1:6">
      <c r="A215">
        <v>36</v>
      </c>
      <c r="B215">
        <v>127</v>
      </c>
      <c r="C215">
        <v>86</v>
      </c>
      <c r="D215">
        <v>163</v>
      </c>
      <c r="E215">
        <v>153</v>
      </c>
      <c r="F215">
        <v>156</v>
      </c>
    </row>
    <row r="216" spans="1:6">
      <c r="A216">
        <v>37</v>
      </c>
      <c r="B216">
        <v>171</v>
      </c>
      <c r="C216">
        <v>102</v>
      </c>
      <c r="D216">
        <v>161</v>
      </c>
      <c r="E216">
        <v>161</v>
      </c>
      <c r="F216">
        <v>163</v>
      </c>
    </row>
    <row r="217" spans="1:6">
      <c r="A217">
        <v>38</v>
      </c>
      <c r="B217">
        <v>195</v>
      </c>
      <c r="C217">
        <v>87</v>
      </c>
      <c r="D217">
        <v>164</v>
      </c>
      <c r="E217">
        <v>159</v>
      </c>
      <c r="F217">
        <v>156</v>
      </c>
    </row>
    <row r="218" spans="1:6">
      <c r="A218">
        <v>39</v>
      </c>
      <c r="B218">
        <v>150</v>
      </c>
      <c r="C218">
        <v>81</v>
      </c>
      <c r="D218">
        <v>155</v>
      </c>
      <c r="E218">
        <v>154</v>
      </c>
      <c r="F218">
        <v>155</v>
      </c>
    </row>
    <row r="219" spans="1:6">
      <c r="A219">
        <v>40</v>
      </c>
      <c r="B219">
        <v>179</v>
      </c>
      <c r="C219">
        <v>72</v>
      </c>
      <c r="D219">
        <v>156</v>
      </c>
      <c r="E219">
        <v>154</v>
      </c>
      <c r="F219">
        <v>156</v>
      </c>
    </row>
    <row r="220" spans="1:6">
      <c r="A220">
        <v>41</v>
      </c>
      <c r="B220">
        <v>115</v>
      </c>
      <c r="C220">
        <v>98</v>
      </c>
      <c r="D220">
        <v>150</v>
      </c>
      <c r="E220">
        <v>150</v>
      </c>
      <c r="F220">
        <v>148</v>
      </c>
    </row>
    <row r="221" spans="1:6">
      <c r="A221">
        <v>42</v>
      </c>
      <c r="B221">
        <v>63</v>
      </c>
      <c r="C221">
        <v>112</v>
      </c>
      <c r="D221">
        <v>141</v>
      </c>
      <c r="E221">
        <v>145</v>
      </c>
      <c r="F221">
        <v>142</v>
      </c>
    </row>
    <row r="222" spans="1:6">
      <c r="A222">
        <v>43</v>
      </c>
      <c r="B222">
        <v>130</v>
      </c>
      <c r="C222">
        <v>108</v>
      </c>
      <c r="D222">
        <v>160</v>
      </c>
      <c r="E222">
        <v>165</v>
      </c>
      <c r="F222">
        <v>162</v>
      </c>
    </row>
    <row r="223" spans="1:6">
      <c r="A223">
        <v>44</v>
      </c>
      <c r="B223">
        <v>167</v>
      </c>
      <c r="C223">
        <v>101</v>
      </c>
      <c r="D223">
        <v>173</v>
      </c>
      <c r="E223">
        <v>169</v>
      </c>
      <c r="F223">
        <v>172</v>
      </c>
    </row>
    <row r="224" spans="1:6">
      <c r="A224">
        <v>45</v>
      </c>
      <c r="B224">
        <v>142</v>
      </c>
      <c r="C224">
        <v>104</v>
      </c>
      <c r="D224">
        <v>166</v>
      </c>
      <c r="E224">
        <v>167</v>
      </c>
      <c r="F224">
        <v>161</v>
      </c>
    </row>
    <row r="225" spans="1:6">
      <c r="A225">
        <v>46</v>
      </c>
      <c r="B225">
        <v>218</v>
      </c>
      <c r="C225">
        <v>101</v>
      </c>
      <c r="D225">
        <v>146</v>
      </c>
      <c r="E225">
        <v>146</v>
      </c>
      <c r="F225">
        <v>146</v>
      </c>
    </row>
    <row r="226" spans="1:6">
      <c r="A226">
        <v>47</v>
      </c>
      <c r="B226">
        <v>195</v>
      </c>
      <c r="C226">
        <v>81</v>
      </c>
      <c r="D226">
        <v>152</v>
      </c>
      <c r="E226">
        <v>162</v>
      </c>
      <c r="F226">
        <v>159</v>
      </c>
    </row>
    <row r="227" spans="1:6">
      <c r="A227">
        <v>48</v>
      </c>
      <c r="B227">
        <v>95</v>
      </c>
      <c r="C227">
        <v>99</v>
      </c>
      <c r="D227">
        <v>154</v>
      </c>
      <c r="E227">
        <v>164</v>
      </c>
      <c r="F227">
        <v>155</v>
      </c>
    </row>
    <row r="228" spans="1:6">
      <c r="A228">
        <v>49</v>
      </c>
      <c r="B228">
        <v>194</v>
      </c>
      <c r="C228">
        <v>107</v>
      </c>
      <c r="D228">
        <v>156</v>
      </c>
      <c r="E228">
        <v>146</v>
      </c>
      <c r="F228">
        <v>148</v>
      </c>
    </row>
    <row r="229" spans="1:6">
      <c r="A229">
        <v>50</v>
      </c>
      <c r="B229">
        <v>78</v>
      </c>
      <c r="C229">
        <v>113</v>
      </c>
      <c r="D229">
        <v>147</v>
      </c>
      <c r="E229">
        <v>148</v>
      </c>
      <c r="F229">
        <v>153</v>
      </c>
    </row>
    <row r="230" spans="1:6">
      <c r="A230">
        <v>51</v>
      </c>
      <c r="B230">
        <v>111</v>
      </c>
      <c r="C230">
        <v>103</v>
      </c>
      <c r="D230">
        <v>141</v>
      </c>
      <c r="E230">
        <v>155</v>
      </c>
      <c r="F230">
        <v>145</v>
      </c>
    </row>
    <row r="231" spans="1:6">
      <c r="A231">
        <v>52</v>
      </c>
      <c r="B231">
        <v>163</v>
      </c>
      <c r="C231">
        <v>102</v>
      </c>
      <c r="D231">
        <v>163</v>
      </c>
      <c r="E231">
        <v>164</v>
      </c>
      <c r="F231">
        <v>164</v>
      </c>
    </row>
    <row r="232" spans="1:6">
      <c r="A232">
        <v>53</v>
      </c>
      <c r="B232">
        <v>142</v>
      </c>
      <c r="C232">
        <v>73</v>
      </c>
      <c r="D232">
        <v>142</v>
      </c>
      <c r="E232">
        <v>142</v>
      </c>
      <c r="F232">
        <v>143</v>
      </c>
    </row>
    <row r="233" spans="1:6">
      <c r="A233">
        <v>54</v>
      </c>
      <c r="B233">
        <v>83</v>
      </c>
      <c r="C233">
        <v>76</v>
      </c>
      <c r="D233">
        <v>157</v>
      </c>
      <c r="E233">
        <v>146</v>
      </c>
      <c r="F233">
        <v>144</v>
      </c>
    </row>
    <row r="234" spans="1:6">
      <c r="A234">
        <v>55</v>
      </c>
      <c r="B234">
        <v>182</v>
      </c>
      <c r="C234">
        <v>87</v>
      </c>
      <c r="D234">
        <v>150</v>
      </c>
      <c r="E234">
        <v>149</v>
      </c>
      <c r="F234">
        <v>148</v>
      </c>
    </row>
    <row r="235" spans="1:6">
      <c r="A235">
        <v>56</v>
      </c>
      <c r="B235">
        <v>70</v>
      </c>
      <c r="C235">
        <v>97</v>
      </c>
      <c r="D235">
        <v>165</v>
      </c>
      <c r="E235">
        <v>164</v>
      </c>
      <c r="F235">
        <v>165</v>
      </c>
    </row>
    <row r="236" spans="1:6">
      <c r="A236">
        <v>57</v>
      </c>
      <c r="B236">
        <v>187</v>
      </c>
      <c r="C236">
        <v>83</v>
      </c>
      <c r="D236">
        <v>163</v>
      </c>
      <c r="E236">
        <v>163</v>
      </c>
      <c r="F236">
        <v>163</v>
      </c>
    </row>
    <row r="237" spans="1:6">
      <c r="A237">
        <v>58</v>
      </c>
      <c r="B237">
        <v>155</v>
      </c>
      <c r="C237">
        <v>89</v>
      </c>
      <c r="D237">
        <v>175</v>
      </c>
      <c r="E237">
        <v>160</v>
      </c>
      <c r="F237">
        <v>159</v>
      </c>
    </row>
    <row r="238" spans="1:6">
      <c r="A238">
        <v>59</v>
      </c>
      <c r="B238">
        <v>62</v>
      </c>
      <c r="C238">
        <v>93</v>
      </c>
      <c r="D238">
        <v>153</v>
      </c>
      <c r="E238">
        <v>148</v>
      </c>
      <c r="F238">
        <v>159</v>
      </c>
    </row>
    <row r="239" spans="1:6">
      <c r="A239">
        <v>60</v>
      </c>
      <c r="B239">
        <v>182</v>
      </c>
      <c r="C239">
        <v>94</v>
      </c>
      <c r="D239">
        <v>149</v>
      </c>
      <c r="E239">
        <v>151</v>
      </c>
      <c r="F239">
        <v>150</v>
      </c>
    </row>
    <row r="240" spans="1:6">
      <c r="A240">
        <v>61</v>
      </c>
      <c r="B240">
        <v>87</v>
      </c>
      <c r="C240">
        <v>73</v>
      </c>
      <c r="D240">
        <v>152</v>
      </c>
      <c r="E240">
        <v>150</v>
      </c>
      <c r="F240">
        <v>151</v>
      </c>
    </row>
    <row r="241" spans="1:6">
      <c r="A241">
        <v>62</v>
      </c>
      <c r="B241">
        <v>135</v>
      </c>
      <c r="C241">
        <v>87</v>
      </c>
      <c r="D241">
        <v>149</v>
      </c>
      <c r="E241">
        <v>147</v>
      </c>
      <c r="F241">
        <v>146</v>
      </c>
    </row>
    <row r="242" spans="1:6">
      <c r="A242">
        <v>63</v>
      </c>
      <c r="B242">
        <v>82</v>
      </c>
      <c r="C242">
        <v>112</v>
      </c>
      <c r="D242">
        <v>158</v>
      </c>
      <c r="E242">
        <v>160</v>
      </c>
      <c r="F242">
        <v>161</v>
      </c>
    </row>
    <row r="243" spans="1:6">
      <c r="A243">
        <v>64</v>
      </c>
      <c r="B243">
        <v>174</v>
      </c>
      <c r="C243">
        <v>87</v>
      </c>
      <c r="D243">
        <v>158</v>
      </c>
      <c r="E243">
        <v>158</v>
      </c>
      <c r="F243">
        <v>152</v>
      </c>
    </row>
    <row r="244" spans="1:6">
      <c r="A244">
        <v>65</v>
      </c>
      <c r="B244">
        <v>58</v>
      </c>
      <c r="C244">
        <v>83</v>
      </c>
      <c r="D244">
        <v>172</v>
      </c>
      <c r="E244">
        <v>169</v>
      </c>
      <c r="F244">
        <v>162</v>
      </c>
    </row>
    <row r="245" spans="1:6">
      <c r="A245">
        <v>66</v>
      </c>
      <c r="B245">
        <v>130</v>
      </c>
      <c r="C245">
        <v>81</v>
      </c>
      <c r="D245">
        <v>168</v>
      </c>
      <c r="E245">
        <v>162</v>
      </c>
      <c r="F245">
        <v>165</v>
      </c>
    </row>
    <row r="246" spans="1:6">
      <c r="A246">
        <v>67</v>
      </c>
      <c r="B246">
        <v>178</v>
      </c>
      <c r="C246">
        <v>87</v>
      </c>
      <c r="D246">
        <v>151</v>
      </c>
      <c r="E246">
        <v>152</v>
      </c>
      <c r="F246">
        <v>151</v>
      </c>
    </row>
    <row r="247" spans="1:6">
      <c r="A247">
        <v>68</v>
      </c>
      <c r="B247">
        <v>86</v>
      </c>
      <c r="C247">
        <v>93</v>
      </c>
      <c r="D247">
        <v>165</v>
      </c>
      <c r="E247">
        <v>164</v>
      </c>
      <c r="F247">
        <v>166</v>
      </c>
    </row>
    <row r="248" spans="1:6">
      <c r="A248">
        <v>69</v>
      </c>
      <c r="B248">
        <v>202</v>
      </c>
      <c r="C248">
        <v>88</v>
      </c>
      <c r="D248">
        <v>153</v>
      </c>
      <c r="E248">
        <v>157</v>
      </c>
      <c r="F248">
        <v>158</v>
      </c>
    </row>
    <row r="249" spans="1:6">
      <c r="A249">
        <v>70</v>
      </c>
      <c r="B249">
        <v>218</v>
      </c>
      <c r="C249">
        <v>93</v>
      </c>
      <c r="D249">
        <v>145</v>
      </c>
      <c r="E249">
        <v>145</v>
      </c>
      <c r="F249">
        <v>145</v>
      </c>
    </row>
    <row r="250" spans="1:6">
      <c r="A250">
        <v>71</v>
      </c>
      <c r="B250">
        <v>143</v>
      </c>
      <c r="C250">
        <v>96</v>
      </c>
      <c r="D250">
        <v>156</v>
      </c>
      <c r="E250">
        <v>159</v>
      </c>
      <c r="F250">
        <v>160</v>
      </c>
    </row>
    <row r="251" spans="1:6">
      <c r="A251">
        <v>72</v>
      </c>
      <c r="B251">
        <v>106</v>
      </c>
      <c r="C251">
        <v>103</v>
      </c>
      <c r="D251">
        <v>151</v>
      </c>
      <c r="E251">
        <v>153</v>
      </c>
      <c r="F251">
        <v>158</v>
      </c>
    </row>
    <row r="252" spans="1:6">
      <c r="A252">
        <v>73</v>
      </c>
      <c r="B252">
        <v>166</v>
      </c>
      <c r="C252">
        <v>72</v>
      </c>
      <c r="D252">
        <v>167</v>
      </c>
      <c r="E252">
        <v>163</v>
      </c>
      <c r="F252">
        <v>167</v>
      </c>
    </row>
    <row r="253" spans="1:6">
      <c r="A253">
        <v>74</v>
      </c>
      <c r="B253">
        <v>114</v>
      </c>
      <c r="C253">
        <v>92</v>
      </c>
      <c r="D253">
        <v>152</v>
      </c>
      <c r="E253">
        <v>142</v>
      </c>
      <c r="F253">
        <v>157</v>
      </c>
    </row>
    <row r="254" spans="1:6">
      <c r="A254">
        <v>75</v>
      </c>
      <c r="B254">
        <v>123</v>
      </c>
      <c r="C254">
        <v>96</v>
      </c>
      <c r="D254">
        <v>146</v>
      </c>
      <c r="E254">
        <v>165</v>
      </c>
      <c r="F254">
        <v>166</v>
      </c>
    </row>
    <row r="255" spans="1:6">
      <c r="A255">
        <v>76</v>
      </c>
      <c r="B255">
        <v>210</v>
      </c>
      <c r="C255">
        <v>94</v>
      </c>
      <c r="D255">
        <v>155</v>
      </c>
      <c r="E255">
        <v>153</v>
      </c>
      <c r="F255">
        <v>153</v>
      </c>
    </row>
    <row r="256" spans="1:6">
      <c r="A256">
        <v>77</v>
      </c>
      <c r="B256">
        <v>110</v>
      </c>
      <c r="C256">
        <v>86</v>
      </c>
      <c r="D256">
        <v>157</v>
      </c>
      <c r="E256">
        <v>156</v>
      </c>
      <c r="F256">
        <v>157</v>
      </c>
    </row>
    <row r="257" spans="1:6">
      <c r="A257">
        <v>78</v>
      </c>
      <c r="B257">
        <v>175</v>
      </c>
      <c r="C257">
        <v>66</v>
      </c>
      <c r="D257">
        <v>147</v>
      </c>
      <c r="E257">
        <v>149</v>
      </c>
      <c r="F257">
        <v>147</v>
      </c>
    </row>
    <row r="258" spans="1:6">
      <c r="A258">
        <v>79</v>
      </c>
      <c r="B258">
        <v>179</v>
      </c>
      <c r="C258">
        <v>93</v>
      </c>
      <c r="D258">
        <v>149</v>
      </c>
      <c r="E258">
        <v>149</v>
      </c>
      <c r="F258">
        <v>149</v>
      </c>
    </row>
    <row r="259" spans="1:6">
      <c r="A259">
        <v>80</v>
      </c>
      <c r="B259">
        <v>182</v>
      </c>
      <c r="C259">
        <v>111</v>
      </c>
      <c r="D259">
        <v>164</v>
      </c>
      <c r="E259">
        <v>162</v>
      </c>
      <c r="F259">
        <v>160</v>
      </c>
    </row>
    <row r="260" spans="1:6">
      <c r="A260">
        <v>81</v>
      </c>
      <c r="B260">
        <v>79</v>
      </c>
      <c r="C260">
        <v>89</v>
      </c>
      <c r="D260">
        <v>168</v>
      </c>
      <c r="E260">
        <v>165</v>
      </c>
      <c r="F260">
        <v>164</v>
      </c>
    </row>
    <row r="261" spans="1:6">
      <c r="A261">
        <v>82</v>
      </c>
      <c r="B261">
        <v>202</v>
      </c>
      <c r="C261">
        <v>108</v>
      </c>
      <c r="D261">
        <v>165</v>
      </c>
      <c r="E261">
        <v>164</v>
      </c>
      <c r="F261">
        <v>167</v>
      </c>
    </row>
    <row r="262" spans="1:6">
      <c r="A262">
        <v>83</v>
      </c>
      <c r="B262">
        <v>179</v>
      </c>
      <c r="C262">
        <v>73</v>
      </c>
      <c r="D262">
        <v>151</v>
      </c>
      <c r="E262">
        <v>162</v>
      </c>
      <c r="F262">
        <v>167</v>
      </c>
    </row>
    <row r="263" spans="1:6">
      <c r="A263">
        <v>84</v>
      </c>
      <c r="B263">
        <v>71</v>
      </c>
      <c r="C263">
        <v>106</v>
      </c>
      <c r="D263">
        <v>147</v>
      </c>
      <c r="E263">
        <v>155</v>
      </c>
      <c r="F263">
        <v>163</v>
      </c>
    </row>
    <row r="264" spans="1:6">
      <c r="A264">
        <v>85</v>
      </c>
      <c r="B264">
        <v>151</v>
      </c>
      <c r="C264">
        <v>77</v>
      </c>
      <c r="D264">
        <v>175</v>
      </c>
      <c r="E264">
        <v>166</v>
      </c>
      <c r="F264">
        <v>174</v>
      </c>
    </row>
    <row r="265" spans="1:6">
      <c r="A265">
        <v>86</v>
      </c>
      <c r="B265">
        <v>102</v>
      </c>
      <c r="C265">
        <v>107</v>
      </c>
      <c r="D265">
        <v>159</v>
      </c>
      <c r="E265">
        <v>150</v>
      </c>
      <c r="F265">
        <v>143</v>
      </c>
    </row>
    <row r="266" spans="1:6">
      <c r="A266">
        <v>87</v>
      </c>
      <c r="B266">
        <v>142</v>
      </c>
      <c r="C266">
        <v>93</v>
      </c>
      <c r="D266">
        <v>159</v>
      </c>
      <c r="E266">
        <v>169</v>
      </c>
      <c r="F266">
        <v>163</v>
      </c>
    </row>
    <row r="267" spans="1:6">
      <c r="A267">
        <v>88</v>
      </c>
      <c r="B267">
        <v>187</v>
      </c>
      <c r="C267">
        <v>94</v>
      </c>
      <c r="D267">
        <v>148</v>
      </c>
      <c r="E267">
        <v>153</v>
      </c>
      <c r="F267">
        <v>147</v>
      </c>
    </row>
    <row r="268" spans="1:6">
      <c r="A268">
        <v>89</v>
      </c>
      <c r="B268">
        <v>135</v>
      </c>
      <c r="C268">
        <v>114</v>
      </c>
      <c r="D268">
        <v>157</v>
      </c>
      <c r="E268">
        <v>159</v>
      </c>
      <c r="F268">
        <v>158</v>
      </c>
    </row>
    <row r="269" spans="1:6">
      <c r="A269">
        <v>90</v>
      </c>
      <c r="B269">
        <v>82</v>
      </c>
      <c r="C269">
        <v>92</v>
      </c>
      <c r="D269">
        <v>157</v>
      </c>
      <c r="E269">
        <v>155</v>
      </c>
      <c r="F269">
        <v>144</v>
      </c>
    </row>
    <row r="270" spans="1:6">
      <c r="A270">
        <v>91</v>
      </c>
      <c r="B270">
        <v>162</v>
      </c>
      <c r="C270">
        <v>78</v>
      </c>
      <c r="D270">
        <v>152</v>
      </c>
      <c r="E270">
        <v>150</v>
      </c>
      <c r="F270">
        <v>150</v>
      </c>
    </row>
    <row r="271" spans="1:6">
      <c r="A271">
        <v>92</v>
      </c>
      <c r="B271">
        <v>94</v>
      </c>
      <c r="C271">
        <v>104</v>
      </c>
      <c r="D271">
        <v>162</v>
      </c>
      <c r="E271">
        <v>161</v>
      </c>
      <c r="F271">
        <v>164</v>
      </c>
    </row>
    <row r="272" spans="1:6">
      <c r="A272">
        <v>93</v>
      </c>
      <c r="B272">
        <v>59</v>
      </c>
      <c r="C272">
        <v>82</v>
      </c>
      <c r="D272">
        <v>161</v>
      </c>
      <c r="E272">
        <v>160</v>
      </c>
      <c r="F272">
        <v>162</v>
      </c>
    </row>
    <row r="273" spans="1:6">
      <c r="A273">
        <v>94</v>
      </c>
      <c r="B273">
        <v>210</v>
      </c>
      <c r="C273">
        <v>79</v>
      </c>
      <c r="D273">
        <v>156</v>
      </c>
      <c r="E273">
        <v>152</v>
      </c>
      <c r="F273">
        <v>156</v>
      </c>
    </row>
    <row r="274" spans="1:6">
      <c r="A274">
        <v>95</v>
      </c>
      <c r="B274">
        <v>211</v>
      </c>
      <c r="C274">
        <v>92</v>
      </c>
      <c r="D274">
        <v>158</v>
      </c>
      <c r="E274">
        <v>161</v>
      </c>
      <c r="F274">
        <v>151</v>
      </c>
    </row>
    <row r="275" spans="1:6">
      <c r="A275">
        <v>96</v>
      </c>
      <c r="B275">
        <v>194</v>
      </c>
      <c r="C275">
        <v>107</v>
      </c>
      <c r="D275">
        <v>174</v>
      </c>
      <c r="E275">
        <v>175</v>
      </c>
      <c r="F275">
        <v>162</v>
      </c>
    </row>
    <row r="276" spans="1:6">
      <c r="A276">
        <v>97</v>
      </c>
      <c r="B276">
        <v>150</v>
      </c>
      <c r="C276">
        <v>109</v>
      </c>
      <c r="D276">
        <v>156</v>
      </c>
      <c r="E276">
        <v>155</v>
      </c>
      <c r="F276">
        <v>160</v>
      </c>
    </row>
    <row r="277" spans="1:6">
      <c r="A277">
        <v>98</v>
      </c>
      <c r="B277">
        <v>215</v>
      </c>
      <c r="C277">
        <v>64</v>
      </c>
      <c r="D277">
        <v>160</v>
      </c>
      <c r="E277">
        <v>157</v>
      </c>
      <c r="F277">
        <v>152</v>
      </c>
    </row>
    <row r="278" spans="1:6">
      <c r="A278">
        <v>99</v>
      </c>
      <c r="B278">
        <v>78</v>
      </c>
      <c r="C278">
        <v>88</v>
      </c>
      <c r="D278">
        <v>160</v>
      </c>
      <c r="E278">
        <v>159</v>
      </c>
      <c r="F278">
        <v>155</v>
      </c>
    </row>
    <row r="279" spans="1:6">
      <c r="A279">
        <v>100</v>
      </c>
      <c r="B279">
        <v>114</v>
      </c>
      <c r="C279">
        <v>82</v>
      </c>
      <c r="D279">
        <v>156</v>
      </c>
      <c r="E279">
        <v>155</v>
      </c>
      <c r="F279">
        <v>157</v>
      </c>
    </row>
    <row r="280" spans="1:6">
      <c r="A280" t="s">
        <v>229</v>
      </c>
      <c r="B280">
        <f>MIN(B180:B279)</f>
        <v>58</v>
      </c>
      <c r="C280">
        <f>MIN(C180:C279)</f>
        <v>63</v>
      </c>
      <c r="D280">
        <f>MIN(D180:D279)</f>
        <v>141</v>
      </c>
      <c r="E280">
        <f>MIN(E180:E279)</f>
        <v>142</v>
      </c>
      <c r="F280">
        <f>MIN(F180:F279)</f>
        <v>140</v>
      </c>
    </row>
    <row r="281" spans="1:6">
      <c r="A281" t="s">
        <v>230</v>
      </c>
      <c r="B281">
        <f>MAX(B180:B279)</f>
        <v>218</v>
      </c>
      <c r="C281">
        <f>MAX(C180:C279)</f>
        <v>114</v>
      </c>
      <c r="D281">
        <f>MAX(D180:D279)</f>
        <v>175</v>
      </c>
      <c r="E281">
        <f>MAX(E180:E279)</f>
        <v>175</v>
      </c>
      <c r="F281">
        <f>MAX(F180:F279)</f>
        <v>174</v>
      </c>
    </row>
    <row r="282" spans="1:6">
      <c r="A282" t="s">
        <v>231</v>
      </c>
      <c r="B282">
        <f>AVERAGE(B180:B279)</f>
        <v>137.97</v>
      </c>
      <c r="C282">
        <f>AVERAGE(C180:C279)</f>
        <v>89.16</v>
      </c>
      <c r="D282">
        <f>AVERAGE(D180:D279)</f>
        <v>157.74</v>
      </c>
      <c r="E282">
        <f>AVERAGE(E180:E279)</f>
        <v>157.65</v>
      </c>
      <c r="F282">
        <f>AVERAGE(F180:F279)</f>
        <v>156.91</v>
      </c>
    </row>
    <row r="284" spans="1:2">
      <c r="A284" t="s">
        <v>232</v>
      </c>
      <c r="B284">
        <f>COUNTIFS($B$180:$B$279,"&gt;=55",$B$180:$B$279,"&lt;=80")</f>
        <v>12</v>
      </c>
    </row>
    <row r="285" spans="1:2">
      <c r="A285" t="s">
        <v>233</v>
      </c>
      <c r="B285">
        <f>COUNTIFS($B$180:$B$279,"&gt;=81",$B$180:$B$279,"&lt;=100")</f>
        <v>13</v>
      </c>
    </row>
    <row r="286" spans="1:2">
      <c r="A286" t="s">
        <v>234</v>
      </c>
      <c r="B286">
        <f>COUNTIFS($B$180:$B$279,"&gt;=101",$B$180:$B$279,"&lt;=120")</f>
        <v>16</v>
      </c>
    </row>
    <row r="287" spans="1:2">
      <c r="A287" t="s">
        <v>235</v>
      </c>
      <c r="B287">
        <f>COUNTIFS($B$180:$B$279,"&gt;=121",$B$180:$B$279,"&lt;=140")</f>
        <v>13</v>
      </c>
    </row>
    <row r="288" spans="1:2">
      <c r="A288" t="s">
        <v>236</v>
      </c>
      <c r="B288">
        <f>COUNTIFS($B$180:$B$279,"&gt;=141",$B$180:$B$279,"&lt;=160")</f>
        <v>8</v>
      </c>
    </row>
    <row r="289" spans="1:2">
      <c r="A289" t="s">
        <v>237</v>
      </c>
      <c r="B289">
        <f>COUNTIFS($B$180:$B$279,"&gt;=161",$B$180:$B$279,"&lt;=180")</f>
        <v>15</v>
      </c>
    </row>
    <row r="290" spans="1:2">
      <c r="A290" t="s">
        <v>238</v>
      </c>
      <c r="B290">
        <f>COUNTIFS($B$180:$B$279,"&gt;=181",$B$180:$B$279,"&lt;=200")</f>
        <v>12</v>
      </c>
    </row>
    <row r="291" spans="1:2">
      <c r="A291" t="s">
        <v>239</v>
      </c>
      <c r="B291">
        <f>COUNTIFS($B$180:$B$279,"&gt;=201",$B$180:$B$279,"&lt;=220")</f>
        <v>11</v>
      </c>
    </row>
    <row r="293" spans="1:3">
      <c r="A293" t="s">
        <v>240</v>
      </c>
      <c r="C293">
        <f>COUNTIFS($C$180:$C$279,"&gt;=60",$C$180:$C$279,"&lt;=70")</f>
        <v>9</v>
      </c>
    </row>
    <row r="294" spans="1:3">
      <c r="A294" t="s">
        <v>241</v>
      </c>
      <c r="C294">
        <f>COUNTIFS($C$180:$C$279,"&gt;=71",$C$180:$C$279,"&lt;=80")</f>
        <v>15</v>
      </c>
    </row>
    <row r="295" spans="1:3">
      <c r="A295" t="s">
        <v>242</v>
      </c>
      <c r="C295">
        <f>COUNTIFS($C$180:$C$279,"&gt;=81",$C$180:$C$279,"&lt;=90")</f>
        <v>29</v>
      </c>
    </row>
    <row r="296" spans="1:3">
      <c r="A296" t="s">
        <v>243</v>
      </c>
      <c r="C296">
        <f>COUNTIFS($C$180:$C$279,"&gt;=91",$C$180:$C$279,"&lt;=100")</f>
        <v>22</v>
      </c>
    </row>
    <row r="297" spans="1:3">
      <c r="A297" t="s">
        <v>244</v>
      </c>
      <c r="C297">
        <f>COUNTIFS($C$180:$C$279,"&gt;=101",$C$180:$C$279,"&lt;=110")</f>
        <v>18</v>
      </c>
    </row>
    <row r="298" spans="1:3">
      <c r="A298" t="s">
        <v>245</v>
      </c>
      <c r="C298">
        <f>COUNTIFS($C$180:$C$279,"&gt;=111",$C$180:$C$279,"&lt;=120")</f>
        <v>7</v>
      </c>
    </row>
    <row r="301" spans="1:4">
      <c r="A301" t="s">
        <v>246</v>
      </c>
      <c r="D301">
        <f>COUNTIFS($D$180:$F$279,"&gt;=140",$D$180:$F$279,"&lt;=145")</f>
        <v>16</v>
      </c>
    </row>
    <row r="302" spans="1:4">
      <c r="A302" t="s">
        <v>247</v>
      </c>
      <c r="D302">
        <f>COUNTIFS($D$180:$F$279,"&gt;=146",$D$180:$F$279,"&lt;=150")</f>
        <v>46</v>
      </c>
    </row>
    <row r="303" spans="1:4">
      <c r="A303" t="s">
        <v>248</v>
      </c>
      <c r="D303">
        <f>COUNTIFS($D$180:$F$279,"&gt;=151",$D$180:$F$279,"&lt;=155")</f>
        <v>56</v>
      </c>
    </row>
    <row r="304" spans="1:4">
      <c r="A304" t="s">
        <v>249</v>
      </c>
      <c r="D304">
        <f>COUNTIFS($D$180:$F$279,"&gt;=156",$D$180:$F$279,"&lt;=160")</f>
        <v>72</v>
      </c>
    </row>
    <row r="305" spans="1:4">
      <c r="A305" t="s">
        <v>250</v>
      </c>
      <c r="D305">
        <f>COUNTIFS($D$180:$F$279,"&gt;=161",$D$180:$F$279,"&lt;=165")</f>
        <v>69</v>
      </c>
    </row>
    <row r="306" spans="1:4">
      <c r="A306" t="s">
        <v>251</v>
      </c>
      <c r="D306">
        <f>COUNTIFS($D$180:$F$279,"&gt;=166",$D$180:$F$279,"&lt;=170")</f>
        <v>29</v>
      </c>
    </row>
    <row r="307" spans="1:4">
      <c r="A307" t="s">
        <v>252</v>
      </c>
      <c r="D307">
        <f>COUNTIFS($D$180:$F$279,"&gt;=171",$D$180:$F$279,"&lt;=175")</f>
        <v>12</v>
      </c>
    </row>
  </sheetData>
  <mergeCells count="26">
    <mergeCell ref="B6:N6"/>
    <mergeCell ref="B7:N7"/>
    <mergeCell ref="B8:N8"/>
    <mergeCell ref="B9:N9"/>
    <mergeCell ref="B10:N10"/>
    <mergeCell ref="B11:N11"/>
    <mergeCell ref="B12:N12"/>
    <mergeCell ref="B13:N13"/>
    <mergeCell ref="B14:N14"/>
    <mergeCell ref="B15:N15"/>
    <mergeCell ref="B16:N16"/>
    <mergeCell ref="B17:N17"/>
    <mergeCell ref="B18:N18"/>
    <mergeCell ref="B19:N19"/>
    <mergeCell ref="B27:D27"/>
    <mergeCell ref="E27:U27"/>
    <mergeCell ref="E150:K150"/>
    <mergeCell ref="D178:F178"/>
    <mergeCell ref="B95:K97"/>
    <mergeCell ref="A113:I122"/>
    <mergeCell ref="B99:M106"/>
    <mergeCell ref="A168:H175"/>
    <mergeCell ref="O167:U174"/>
    <mergeCell ref="C161:H164"/>
    <mergeCell ref="C166:H167"/>
    <mergeCell ref="B1:M3"/>
  </mergeCell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1"/>
  <sheetViews>
    <sheetView zoomScale="85" zoomScaleNormal="85" workbookViewId="0">
      <selection activeCell="K186" sqref="K186"/>
    </sheetView>
  </sheetViews>
  <sheetFormatPr defaultColWidth="9" defaultRowHeight="13.5"/>
  <cols>
    <col min="2" max="2" width="12.875" customWidth="1"/>
    <col min="5" max="5" width="11.125" customWidth="1"/>
    <col min="7" max="7" width="12.25" customWidth="1"/>
    <col min="10" max="10" width="15" customWidth="1"/>
    <col min="11" max="11" width="18.5" customWidth="1"/>
    <col min="12" max="12" width="12.625" customWidth="1"/>
    <col min="13" max="13" width="15" customWidth="1"/>
    <col min="14" max="14" width="15.75" customWidth="1"/>
    <col min="15" max="16" width="15" customWidth="1"/>
    <col min="17" max="19" width="13.75"/>
    <col min="20" max="20" width="12.625"/>
    <col min="21" max="22" width="12.625" customWidth="1"/>
  </cols>
  <sheetData>
    <row r="1" spans="1:10">
      <c r="A1" s="15" t="s">
        <v>253</v>
      </c>
      <c r="B1" s="15"/>
      <c r="C1" s="15"/>
      <c r="D1" s="15"/>
      <c r="E1" s="15"/>
      <c r="F1" s="15"/>
      <c r="G1" s="15"/>
      <c r="H1" s="15"/>
      <c r="I1" s="15"/>
      <c r="J1" s="15"/>
    </row>
    <row r="2" spans="1:7">
      <c r="A2" t="s">
        <v>254</v>
      </c>
      <c r="B2" t="s">
        <v>255</v>
      </c>
      <c r="D2" t="s">
        <v>176</v>
      </c>
      <c r="E2" t="s">
        <v>256</v>
      </c>
      <c r="F2" t="s">
        <v>257</v>
      </c>
      <c r="G2" t="s">
        <v>258</v>
      </c>
    </row>
    <row r="3" spans="2:19">
      <c r="B3">
        <v>100</v>
      </c>
      <c r="D3" t="s">
        <v>259</v>
      </c>
      <c r="E3" t="s">
        <v>260</v>
      </c>
      <c r="F3" t="s">
        <v>261</v>
      </c>
      <c r="G3" t="s">
        <v>262</v>
      </c>
      <c r="K3" s="88" t="s">
        <v>263</v>
      </c>
      <c r="L3" s="89"/>
      <c r="M3" s="89"/>
      <c r="N3" s="89"/>
      <c r="O3" s="89"/>
      <c r="P3" s="89"/>
      <c r="Q3" s="89"/>
      <c r="R3" s="89"/>
      <c r="S3" s="102"/>
    </row>
    <row r="4" spans="4:19">
      <c r="D4" t="s">
        <v>264</v>
      </c>
      <c r="E4" t="s">
        <v>265</v>
      </c>
      <c r="F4" t="s">
        <v>266</v>
      </c>
      <c r="G4" t="s">
        <v>267</v>
      </c>
      <c r="K4" s="90"/>
      <c r="L4" s="91"/>
      <c r="M4" s="91"/>
      <c r="N4" s="91"/>
      <c r="O4" s="91"/>
      <c r="P4" s="91"/>
      <c r="Q4" s="91"/>
      <c r="R4" s="91"/>
      <c r="S4" s="103"/>
    </row>
    <row r="5" spans="13:18">
      <c r="M5" s="87" t="s">
        <v>268</v>
      </c>
      <c r="N5" s="87"/>
      <c r="O5" s="87" t="s">
        <v>269</v>
      </c>
      <c r="P5" s="87"/>
      <c r="Q5" s="2"/>
      <c r="R5" s="2"/>
    </row>
    <row r="6" spans="11:18">
      <c r="K6" t="s">
        <v>270</v>
      </c>
      <c r="L6"/>
      <c r="M6" t="s">
        <v>271</v>
      </c>
      <c r="N6" t="s">
        <v>272</v>
      </c>
      <c r="O6" t="s">
        <v>271</v>
      </c>
      <c r="P6" t="s">
        <v>272</v>
      </c>
      <c r="Q6" s="2"/>
      <c r="R6" s="2"/>
    </row>
    <row r="7" spans="1:18">
      <c r="A7" t="s">
        <v>273</v>
      </c>
      <c r="B7" t="s">
        <v>255</v>
      </c>
      <c r="D7" t="s">
        <v>176</v>
      </c>
      <c r="E7" t="s">
        <v>256</v>
      </c>
      <c r="F7" t="s">
        <v>257</v>
      </c>
      <c r="K7" s="2" t="s">
        <v>212</v>
      </c>
      <c r="L7" s="2" t="s">
        <v>213</v>
      </c>
      <c r="M7" s="2" t="s">
        <v>274</v>
      </c>
      <c r="N7" s="2" t="s">
        <v>275</v>
      </c>
      <c r="O7" s="2" t="s">
        <v>276</v>
      </c>
      <c r="P7" s="2" t="s">
        <v>277</v>
      </c>
      <c r="Q7" s="2"/>
      <c r="R7" s="2"/>
    </row>
    <row r="8" spans="2:18">
      <c r="B8">
        <v>200</v>
      </c>
      <c r="D8" t="s">
        <v>259</v>
      </c>
      <c r="E8" t="s">
        <v>278</v>
      </c>
      <c r="F8" t="s">
        <v>279</v>
      </c>
      <c r="K8" s="2" t="s">
        <v>206</v>
      </c>
      <c r="L8" s="12" t="s">
        <v>217</v>
      </c>
      <c r="M8" s="2" t="s">
        <v>280</v>
      </c>
      <c r="N8" s="2" t="s">
        <v>281</v>
      </c>
      <c r="O8" s="2" t="s">
        <v>282</v>
      </c>
      <c r="P8" s="2" t="s">
        <v>283</v>
      </c>
      <c r="Q8" s="92"/>
      <c r="R8" s="2"/>
    </row>
    <row r="9" spans="4:18">
      <c r="D9" t="s">
        <v>264</v>
      </c>
      <c r="E9" t="s">
        <v>284</v>
      </c>
      <c r="F9" t="s">
        <v>285</v>
      </c>
      <c r="K9" s="2"/>
      <c r="L9" s="2"/>
      <c r="M9" s="2"/>
      <c r="N9" s="2"/>
      <c r="P9" s="92"/>
      <c r="Q9" s="92"/>
      <c r="R9" s="2"/>
    </row>
    <row r="10" spans="16:18">
      <c r="P10" s="92"/>
      <c r="Q10" s="92"/>
      <c r="R10" s="2"/>
    </row>
    <row r="11" spans="11:22">
      <c r="K11" s="93" t="s">
        <v>268</v>
      </c>
      <c r="L11" s="93"/>
      <c r="M11" s="94"/>
      <c r="N11" s="94"/>
      <c r="O11" s="93" t="s">
        <v>286</v>
      </c>
      <c r="P11" s="93"/>
      <c r="Q11" s="93"/>
      <c r="R11" s="93"/>
      <c r="S11" s="93" t="s">
        <v>287</v>
      </c>
      <c r="T11" s="93"/>
      <c r="U11" s="93"/>
      <c r="V11" s="93"/>
    </row>
    <row r="12" spans="1:22">
      <c r="A12" t="s">
        <v>288</v>
      </c>
      <c r="B12" t="s">
        <v>255</v>
      </c>
      <c r="D12" t="s">
        <v>176</v>
      </c>
      <c r="E12" t="s">
        <v>256</v>
      </c>
      <c r="K12" s="95"/>
      <c r="L12" s="96" t="s">
        <v>289</v>
      </c>
      <c r="M12" s="96" t="s">
        <v>290</v>
      </c>
      <c r="N12" s="96" t="s">
        <v>291</v>
      </c>
      <c r="O12" s="97" t="s">
        <v>292</v>
      </c>
      <c r="P12" s="97" t="s">
        <v>293</v>
      </c>
      <c r="Q12" s="96" t="s">
        <v>145</v>
      </c>
      <c r="R12" s="96" t="s">
        <v>81</v>
      </c>
      <c r="S12" s="97" t="s">
        <v>292</v>
      </c>
      <c r="T12" s="97" t="s">
        <v>293</v>
      </c>
      <c r="U12" s="96" t="s">
        <v>145</v>
      </c>
      <c r="V12" s="96" t="s">
        <v>81</v>
      </c>
    </row>
    <row r="13" spans="2:22">
      <c r="B13" t="s">
        <v>215</v>
      </c>
      <c r="D13" t="s">
        <v>259</v>
      </c>
      <c r="E13" t="s">
        <v>294</v>
      </c>
      <c r="K13" s="96" t="s">
        <v>212</v>
      </c>
      <c r="L13" s="98">
        <f>25/(25+104)</f>
        <v>0.193798449612403</v>
      </c>
      <c r="M13" s="98">
        <f t="shared" ref="M13:M19" si="0">1-L13</f>
        <v>0.806201550387597</v>
      </c>
      <c r="N13" s="98">
        <f>(0+104)/2</f>
        <v>52</v>
      </c>
      <c r="O13" s="98">
        <v>0.666666666666667</v>
      </c>
      <c r="P13" s="94">
        <f t="shared" ref="P13:P19" si="1">N13*O13*M13-10</f>
        <v>17.9483204134367</v>
      </c>
      <c r="Q13" s="94">
        <f t="shared" ref="Q13:Q19" si="2">R13*O13</f>
        <v>445.724157788655</v>
      </c>
      <c r="R13" s="98">
        <f t="shared" ref="R13:R19" si="3">12000/P13</f>
        <v>668.586236682982</v>
      </c>
      <c r="S13" s="98">
        <v>0.713333333333333</v>
      </c>
      <c r="T13" s="94">
        <f t="shared" ref="T13:T19" si="4">N13*S13*M13-10</f>
        <v>19.9047028423773</v>
      </c>
      <c r="U13" s="94">
        <f t="shared" ref="U13:U19" si="5">V13*S13</f>
        <v>430.049122952778</v>
      </c>
      <c r="V13" s="98">
        <f t="shared" ref="V13:V19" si="6">12000/T13</f>
        <v>602.872602270249</v>
      </c>
    </row>
    <row r="14" spans="4:22">
      <c r="D14" t="s">
        <v>264</v>
      </c>
      <c r="E14" t="s">
        <v>295</v>
      </c>
      <c r="K14" s="96" t="s">
        <v>206</v>
      </c>
      <c r="L14" s="98">
        <f>10/(10+71)</f>
        <v>0.123456790123457</v>
      </c>
      <c r="M14" s="98">
        <f t="shared" si="0"/>
        <v>0.876543209876543</v>
      </c>
      <c r="N14" s="98">
        <f>(0+71)/2*M14</f>
        <v>31.1172839506173</v>
      </c>
      <c r="O14" s="98">
        <v>0.666666666666667</v>
      </c>
      <c r="P14" s="94">
        <f t="shared" si="1"/>
        <v>8.18376263780928</v>
      </c>
      <c r="Q14" s="94">
        <f t="shared" si="2"/>
        <v>977.545458496036</v>
      </c>
      <c r="R14" s="98">
        <f t="shared" si="3"/>
        <v>1466.31818774405</v>
      </c>
      <c r="S14" s="98">
        <v>0.713333333333333</v>
      </c>
      <c r="T14" s="94">
        <f t="shared" si="4"/>
        <v>9.45662602245592</v>
      </c>
      <c r="U14" s="94">
        <f t="shared" si="5"/>
        <v>905.185420219984</v>
      </c>
      <c r="V14" s="98">
        <f t="shared" si="6"/>
        <v>1268.95152367288</v>
      </c>
    </row>
    <row r="15" spans="11:22">
      <c r="K15" s="2"/>
      <c r="L15" s="99"/>
      <c r="M15" s="99"/>
      <c r="N15" s="99"/>
      <c r="O15" s="99"/>
      <c r="P15" s="99"/>
      <c r="Q15" s="99"/>
      <c r="R15" s="99"/>
      <c r="S15" s="99"/>
      <c r="T15" s="99"/>
      <c r="U15" s="99"/>
      <c r="V15" s="99"/>
    </row>
    <row r="16" spans="11:22">
      <c r="K16" s="93" t="s">
        <v>269</v>
      </c>
      <c r="L16" s="93"/>
      <c r="M16" s="94"/>
      <c r="N16" s="94"/>
      <c r="O16" s="93" t="s">
        <v>286</v>
      </c>
      <c r="P16" s="93"/>
      <c r="Q16" s="93"/>
      <c r="R16" s="93"/>
      <c r="S16" s="93" t="s">
        <v>287</v>
      </c>
      <c r="T16" s="93"/>
      <c r="U16" s="93"/>
      <c r="V16" s="93"/>
    </row>
    <row r="17" spans="1:22">
      <c r="A17" t="s">
        <v>296</v>
      </c>
      <c r="B17" t="s">
        <v>255</v>
      </c>
      <c r="D17" t="s">
        <v>176</v>
      </c>
      <c r="E17" t="s">
        <v>256</v>
      </c>
      <c r="K17" s="95"/>
      <c r="L17" s="96" t="s">
        <v>289</v>
      </c>
      <c r="M17" s="96" t="s">
        <v>290</v>
      </c>
      <c r="N17" s="96" t="s">
        <v>291</v>
      </c>
      <c r="O17" s="97" t="s">
        <v>292</v>
      </c>
      <c r="P17" s="97" t="s">
        <v>293</v>
      </c>
      <c r="Q17" s="96" t="s">
        <v>145</v>
      </c>
      <c r="R17" s="96" t="s">
        <v>81</v>
      </c>
      <c r="S17" s="97" t="s">
        <v>292</v>
      </c>
      <c r="T17" s="97" t="s">
        <v>293</v>
      </c>
      <c r="U17" s="96" t="s">
        <v>145</v>
      </c>
      <c r="V17" s="96" t="s">
        <v>81</v>
      </c>
    </row>
    <row r="18" spans="2:22">
      <c r="B18" t="s">
        <v>217</v>
      </c>
      <c r="D18" t="s">
        <v>259</v>
      </c>
      <c r="E18" t="s">
        <v>297</v>
      </c>
      <c r="K18" s="96" t="s">
        <v>212</v>
      </c>
      <c r="L18" s="98">
        <f>25/(25+114)</f>
        <v>0.179856115107914</v>
      </c>
      <c r="M18" s="98">
        <f t="shared" si="0"/>
        <v>0.820143884892086</v>
      </c>
      <c r="N18" s="98">
        <f>(0+114)/2</f>
        <v>57</v>
      </c>
      <c r="O18" s="98">
        <v>0.666666666666667</v>
      </c>
      <c r="P18" s="94">
        <f t="shared" si="1"/>
        <v>21.1654676258993</v>
      </c>
      <c r="Q18" s="94">
        <f t="shared" si="2"/>
        <v>377.974167233175</v>
      </c>
      <c r="R18" s="98">
        <f t="shared" si="3"/>
        <v>566.961250849762</v>
      </c>
      <c r="S18" s="98">
        <v>0.713333333333333</v>
      </c>
      <c r="T18" s="94">
        <f t="shared" si="4"/>
        <v>23.3470503597122</v>
      </c>
      <c r="U18" s="94">
        <f t="shared" si="5"/>
        <v>366.641604318941</v>
      </c>
      <c r="V18" s="98">
        <f t="shared" si="6"/>
        <v>513.98355745646</v>
      </c>
    </row>
    <row r="19" spans="4:22">
      <c r="D19" t="s">
        <v>264</v>
      </c>
      <c r="E19" t="s">
        <v>298</v>
      </c>
      <c r="K19" s="96" t="s">
        <v>206</v>
      </c>
      <c r="L19" s="98">
        <f>10/(10+81)</f>
        <v>0.10989010989011</v>
      </c>
      <c r="M19" s="98">
        <f t="shared" si="0"/>
        <v>0.89010989010989</v>
      </c>
      <c r="N19" s="98">
        <f>(0+81)/2</f>
        <v>40.5</v>
      </c>
      <c r="O19" s="98">
        <v>0.666666666666667</v>
      </c>
      <c r="P19" s="94">
        <f t="shared" si="1"/>
        <v>14.032967032967</v>
      </c>
      <c r="Q19" s="94">
        <f t="shared" si="2"/>
        <v>570.086139389193</v>
      </c>
      <c r="R19" s="98">
        <f t="shared" si="3"/>
        <v>855.12920908379</v>
      </c>
      <c r="S19" s="98">
        <v>0.713333333333333</v>
      </c>
      <c r="T19" s="94">
        <f t="shared" si="4"/>
        <v>15.7152747252747</v>
      </c>
      <c r="U19" s="94">
        <f t="shared" si="5"/>
        <v>544.692991350195</v>
      </c>
      <c r="V19" s="98">
        <f t="shared" si="6"/>
        <v>763.588305631115</v>
      </c>
    </row>
    <row r="20" spans="11:18">
      <c r="K20" s="92"/>
      <c r="L20" s="92"/>
      <c r="M20" s="92"/>
      <c r="N20" s="92"/>
      <c r="O20" s="92"/>
      <c r="P20" s="92"/>
      <c r="Q20" s="92"/>
      <c r="R20" s="2"/>
    </row>
    <row r="21" spans="11:22">
      <c r="K21" s="93" t="s">
        <v>268</v>
      </c>
      <c r="L21" s="93"/>
      <c r="M21" s="94"/>
      <c r="N21" s="94"/>
      <c r="O21" s="93" t="s">
        <v>299</v>
      </c>
      <c r="P21" s="93"/>
      <c r="Q21" s="93"/>
      <c r="R21" s="93"/>
      <c r="S21" s="93" t="s">
        <v>300</v>
      </c>
      <c r="T21" s="93"/>
      <c r="U21" s="93"/>
      <c r="V21" s="93"/>
    </row>
    <row r="22" spans="1:22">
      <c r="A22" t="s">
        <v>301</v>
      </c>
      <c r="B22" t="s">
        <v>255</v>
      </c>
      <c r="D22" t="s">
        <v>176</v>
      </c>
      <c r="E22" t="s">
        <v>256</v>
      </c>
      <c r="G22" s="86" t="s">
        <v>302</v>
      </c>
      <c r="K22" s="95"/>
      <c r="L22" s="96" t="s">
        <v>289</v>
      </c>
      <c r="M22" s="96" t="s">
        <v>290</v>
      </c>
      <c r="N22" s="96" t="s">
        <v>291</v>
      </c>
      <c r="O22" s="97" t="s">
        <v>292</v>
      </c>
      <c r="P22" s="97" t="s">
        <v>293</v>
      </c>
      <c r="Q22" s="96" t="s">
        <v>145</v>
      </c>
      <c r="R22" s="96" t="s">
        <v>81</v>
      </c>
      <c r="S22" s="97" t="s">
        <v>292</v>
      </c>
      <c r="T22" s="97" t="s">
        <v>293</v>
      </c>
      <c r="U22" s="96" t="s">
        <v>145</v>
      </c>
      <c r="V22" s="96" t="s">
        <v>81</v>
      </c>
    </row>
    <row r="23" spans="2:22">
      <c r="B23" t="s">
        <v>223</v>
      </c>
      <c r="D23" t="s">
        <v>259</v>
      </c>
      <c r="E23" t="s">
        <v>303</v>
      </c>
      <c r="G23" s="87"/>
      <c r="K23" s="96" t="s">
        <v>212</v>
      </c>
      <c r="L23" s="98">
        <f>(1-1/(1+10))*25/(25+104)</f>
        <v>0.176180408738548</v>
      </c>
      <c r="M23" s="98">
        <f>1-L23</f>
        <v>0.823819591261452</v>
      </c>
      <c r="N23" s="98">
        <f>104*1/11+52*(1-(1/11/M23))</f>
        <v>55.7163076444514</v>
      </c>
      <c r="O23" s="98">
        <v>0.666666666666667</v>
      </c>
      <c r="P23" s="94">
        <f t="shared" ref="P23:P29" si="7">N23*O23*M23-10</f>
        <v>20.6001238601662</v>
      </c>
      <c r="Q23" s="94">
        <f t="shared" ref="Q23:Q29" si="8">R23*O23</f>
        <v>388.347179575428</v>
      </c>
      <c r="R23" s="98">
        <f t="shared" ref="R23:R29" si="9">12000/P23</f>
        <v>582.520769363142</v>
      </c>
      <c r="S23" s="98">
        <v>0.713333333333333</v>
      </c>
      <c r="T23" s="94">
        <f t="shared" ref="T23:T29" si="10">N23*S23*M23-10</f>
        <v>22.7421325303778</v>
      </c>
      <c r="U23" s="94">
        <f t="shared" ref="U23:U29" si="11">V23*S23</f>
        <v>376.393901872043</v>
      </c>
      <c r="V23" s="98">
        <f t="shared" ref="V23:V29" si="12">12000/T23</f>
        <v>527.655002624359</v>
      </c>
    </row>
    <row r="24" spans="4:26">
      <c r="D24" t="s">
        <v>264</v>
      </c>
      <c r="E24" s="14" t="s">
        <v>304</v>
      </c>
      <c r="F24" t="s">
        <v>305</v>
      </c>
      <c r="G24" s="87"/>
      <c r="K24" s="96" t="s">
        <v>206</v>
      </c>
      <c r="L24" s="98">
        <f>(1-1/(1+10))*10/(10+71)</f>
        <v>0.112233445566779</v>
      </c>
      <c r="M24" s="98">
        <f t="shared" ref="M23:M29" si="13">1-L24</f>
        <v>0.887766554433221</v>
      </c>
      <c r="N24" s="98">
        <f>71*1/11+71/2*(1-(1/11/M24))</f>
        <v>38.3192736467073</v>
      </c>
      <c r="O24" s="98">
        <v>0.666666666666667</v>
      </c>
      <c r="P24" s="94">
        <f t="shared" si="7"/>
        <v>12.679046355814</v>
      </c>
      <c r="Q24" s="94">
        <f t="shared" si="8"/>
        <v>630.962280245277</v>
      </c>
      <c r="R24" s="98">
        <f t="shared" si="9"/>
        <v>946.443420367916</v>
      </c>
      <c r="S24" s="98">
        <v>0.713333333333333</v>
      </c>
      <c r="T24" s="94">
        <f t="shared" si="10"/>
        <v>14.266579600721</v>
      </c>
      <c r="U24" s="94">
        <f t="shared" si="11"/>
        <v>600.003661674266</v>
      </c>
      <c r="V24" s="98">
        <f t="shared" si="12"/>
        <v>841.126628515327</v>
      </c>
      <c r="W24" s="101"/>
      <c r="X24" s="101"/>
      <c r="Y24" s="101"/>
      <c r="Z24" s="101"/>
    </row>
    <row r="25" spans="11:26">
      <c r="K25" s="2"/>
      <c r="L25" s="99"/>
      <c r="M25" s="99"/>
      <c r="N25" s="99"/>
      <c r="O25" s="99"/>
      <c r="P25" s="99"/>
      <c r="Q25" s="99"/>
      <c r="R25" s="99"/>
      <c r="S25" s="99"/>
      <c r="T25" s="99"/>
      <c r="U25" s="99"/>
      <c r="V25" s="99"/>
      <c r="W25"/>
      <c r="X25"/>
      <c r="Y25" s="2"/>
      <c r="Z25" s="2"/>
    </row>
    <row r="26" spans="1:22">
      <c r="A26" s="81" t="s">
        <v>306</v>
      </c>
      <c r="B26" s="81"/>
      <c r="C26" s="81"/>
      <c r="D26" s="81"/>
      <c r="E26" s="81"/>
      <c r="F26" s="81"/>
      <c r="G26" s="81"/>
      <c r="H26" s="81"/>
      <c r="I26" s="81"/>
      <c r="K26" s="93" t="s">
        <v>269</v>
      </c>
      <c r="L26" s="93"/>
      <c r="M26" s="94"/>
      <c r="N26" s="94"/>
      <c r="O26" s="93" t="s">
        <v>299</v>
      </c>
      <c r="P26" s="93"/>
      <c r="Q26" s="93"/>
      <c r="R26" s="93"/>
      <c r="S26" s="93" t="s">
        <v>300</v>
      </c>
      <c r="T26" s="93"/>
      <c r="U26" s="93"/>
      <c r="V26" s="93"/>
    </row>
    <row r="27" spans="1:22">
      <c r="A27" s="81"/>
      <c r="B27" s="81"/>
      <c r="C27" s="81"/>
      <c r="D27" s="81"/>
      <c r="E27" s="81"/>
      <c r="F27" s="81"/>
      <c r="G27" s="81"/>
      <c r="H27" s="81"/>
      <c r="I27" s="81"/>
      <c r="K27" s="95"/>
      <c r="L27" s="96" t="s">
        <v>289</v>
      </c>
      <c r="M27" s="96" t="s">
        <v>290</v>
      </c>
      <c r="N27" s="96" t="s">
        <v>291</v>
      </c>
      <c r="O27" s="97" t="s">
        <v>292</v>
      </c>
      <c r="P27" s="97" t="s">
        <v>293</v>
      </c>
      <c r="Q27" s="96" t="s">
        <v>145</v>
      </c>
      <c r="R27" s="96" t="s">
        <v>81</v>
      </c>
      <c r="S27" s="97" t="s">
        <v>292</v>
      </c>
      <c r="T27" s="97" t="s">
        <v>293</v>
      </c>
      <c r="U27" s="96" t="s">
        <v>145</v>
      </c>
      <c r="V27" s="96" t="s">
        <v>81</v>
      </c>
    </row>
    <row r="28" spans="1:22">
      <c r="A28" s="81"/>
      <c r="B28" s="81"/>
      <c r="C28" s="81"/>
      <c r="D28" s="81"/>
      <c r="E28" s="81"/>
      <c r="F28" s="81"/>
      <c r="G28" s="81"/>
      <c r="H28" s="81"/>
      <c r="I28" s="81"/>
      <c r="K28" s="96" t="s">
        <v>212</v>
      </c>
      <c r="L28" s="98">
        <f>25/(25+114)</f>
        <v>0.179856115107914</v>
      </c>
      <c r="M28" s="98">
        <f t="shared" si="13"/>
        <v>0.820143884892086</v>
      </c>
      <c r="N28" s="98">
        <f>114*1/11+56*(1-(1/11/M28))</f>
        <v>60.1562998405104</v>
      </c>
      <c r="O28" s="98">
        <v>0.666666666666667</v>
      </c>
      <c r="P28" s="94">
        <f t="shared" si="7"/>
        <v>22.8912143012863</v>
      </c>
      <c r="Q28" s="94">
        <f t="shared" si="8"/>
        <v>349.479057541761</v>
      </c>
      <c r="R28" s="98">
        <f t="shared" si="9"/>
        <v>524.218586312641</v>
      </c>
      <c r="S28" s="98">
        <v>0.713333333333333</v>
      </c>
      <c r="T28" s="94">
        <f t="shared" si="10"/>
        <v>25.1935993023763</v>
      </c>
      <c r="U28" s="94">
        <f t="shared" si="11"/>
        <v>339.768839587467</v>
      </c>
      <c r="V28" s="98">
        <f t="shared" si="12"/>
        <v>476.311457365608</v>
      </c>
    </row>
    <row r="29" spans="1:22">
      <c r="A29" s="81"/>
      <c r="B29" s="81"/>
      <c r="C29" s="81"/>
      <c r="D29" s="81"/>
      <c r="E29" s="81"/>
      <c r="F29" s="81"/>
      <c r="G29" s="81"/>
      <c r="H29" s="81"/>
      <c r="I29" s="81"/>
      <c r="K29" s="96" t="s">
        <v>206</v>
      </c>
      <c r="L29" s="98">
        <f>10/(10+81)</f>
        <v>0.10989010989011</v>
      </c>
      <c r="M29" s="98">
        <f t="shared" si="13"/>
        <v>0.89010989010989</v>
      </c>
      <c r="N29" s="98">
        <f>81*1/11+81/2*(1-(1/11/M29))</f>
        <v>43.7272727272727</v>
      </c>
      <c r="O29" s="98">
        <v>0.666666666666667</v>
      </c>
      <c r="P29" s="94">
        <f t="shared" si="7"/>
        <v>15.948051948052</v>
      </c>
      <c r="Q29" s="94">
        <f t="shared" si="8"/>
        <v>501.628664495114</v>
      </c>
      <c r="R29" s="98">
        <f t="shared" si="9"/>
        <v>752.44299674267</v>
      </c>
      <c r="S29" s="98">
        <v>0.713333333333333</v>
      </c>
      <c r="T29" s="94">
        <f t="shared" si="10"/>
        <v>17.7644155844156</v>
      </c>
      <c r="U29" s="94">
        <f t="shared" si="11"/>
        <v>481.862178877955</v>
      </c>
      <c r="V29" s="98">
        <f t="shared" si="12"/>
        <v>675.507727399003</v>
      </c>
    </row>
    <row r="31" spans="1:9">
      <c r="A31" s="15" t="s">
        <v>307</v>
      </c>
      <c r="B31" s="15"/>
      <c r="C31" s="15"/>
      <c r="D31" s="15"/>
      <c r="E31" s="15"/>
      <c r="F31" s="15"/>
      <c r="G31" s="15"/>
      <c r="H31" s="15"/>
      <c r="I31" s="15"/>
    </row>
    <row r="32" spans="1:16">
      <c r="A32" t="s">
        <v>254</v>
      </c>
      <c r="B32" t="s">
        <v>255</v>
      </c>
      <c r="D32" t="s">
        <v>176</v>
      </c>
      <c r="E32" t="s">
        <v>256</v>
      </c>
      <c r="K32" s="7" t="s">
        <v>308</v>
      </c>
      <c r="L32" s="6"/>
      <c r="M32" s="6"/>
      <c r="N32" s="6"/>
      <c r="O32" s="6"/>
      <c r="P32" s="6"/>
    </row>
    <row r="33" spans="2:22">
      <c r="B33">
        <v>100</v>
      </c>
      <c r="D33" t="s">
        <v>259</v>
      </c>
      <c r="E33" t="s">
        <v>260</v>
      </c>
      <c r="K33" s="6"/>
      <c r="L33" s="6"/>
      <c r="M33" s="6"/>
      <c r="N33" s="6"/>
      <c r="O33" s="6"/>
      <c r="P33" s="6"/>
      <c r="Q33" s="104"/>
      <c r="R33" s="104"/>
      <c r="S33" s="99"/>
      <c r="T33" s="99"/>
      <c r="U33" s="99"/>
      <c r="V33" s="99"/>
    </row>
    <row r="34" spans="4:22">
      <c r="D34" t="s">
        <v>264</v>
      </c>
      <c r="E34" t="s">
        <v>309</v>
      </c>
      <c r="K34" s="6"/>
      <c r="L34" s="6"/>
      <c r="M34" s="6"/>
      <c r="N34" s="6"/>
      <c r="O34" s="6"/>
      <c r="P34" s="6"/>
      <c r="Q34" s="104"/>
      <c r="R34" s="104"/>
      <c r="S34" s="99"/>
      <c r="T34" s="99"/>
      <c r="U34" s="99"/>
      <c r="V34" s="99"/>
    </row>
    <row r="35" spans="11:22">
      <c r="K35" s="6"/>
      <c r="L35" s="6"/>
      <c r="M35" s="6"/>
      <c r="N35" s="6"/>
      <c r="O35" s="6"/>
      <c r="P35" s="6"/>
      <c r="Q35" s="104"/>
      <c r="R35" s="104"/>
      <c r="S35" s="99"/>
      <c r="T35" s="99"/>
      <c r="U35" s="99"/>
      <c r="V35" s="99"/>
    </row>
    <row r="36" spans="11:22">
      <c r="K36" s="6"/>
      <c r="L36" s="6"/>
      <c r="M36" s="6"/>
      <c r="N36" s="6"/>
      <c r="O36" s="6"/>
      <c r="P36" s="6"/>
      <c r="Q36" s="100"/>
      <c r="R36" s="99"/>
      <c r="S36" s="99"/>
      <c r="T36" s="99"/>
      <c r="U36" s="99"/>
      <c r="V36" s="99"/>
    </row>
    <row r="37" spans="1:22">
      <c r="A37" t="s">
        <v>273</v>
      </c>
      <c r="B37" t="s">
        <v>255</v>
      </c>
      <c r="D37" t="s">
        <v>176</v>
      </c>
      <c r="E37" t="s">
        <v>256</v>
      </c>
      <c r="K37" s="6"/>
      <c r="L37" s="6"/>
      <c r="M37" s="6"/>
      <c r="N37" s="6"/>
      <c r="O37" s="6"/>
      <c r="P37" s="6"/>
      <c r="Q37" s="100"/>
      <c r="R37" s="99"/>
      <c r="S37" s="99"/>
      <c r="T37" s="99"/>
      <c r="U37" s="99"/>
      <c r="V37" s="99"/>
    </row>
    <row r="38" spans="2:22">
      <c r="B38">
        <v>200</v>
      </c>
      <c r="D38" t="s">
        <v>259</v>
      </c>
      <c r="E38" t="s">
        <v>278</v>
      </c>
      <c r="K38" s="6"/>
      <c r="L38" s="6"/>
      <c r="M38" s="6"/>
      <c r="N38" s="6"/>
      <c r="O38" s="6"/>
      <c r="P38" s="6"/>
      <c r="Q38" s="100"/>
      <c r="R38" s="99"/>
      <c r="S38" s="99"/>
      <c r="T38" s="99"/>
      <c r="U38" s="99"/>
      <c r="V38" s="99"/>
    </row>
    <row r="39" spans="4:22">
      <c r="D39" t="s">
        <v>264</v>
      </c>
      <c r="E39" t="s">
        <v>310</v>
      </c>
      <c r="K39" s="100"/>
      <c r="L39" s="100"/>
      <c r="M39" s="100"/>
      <c r="N39" s="100"/>
      <c r="O39" s="100"/>
      <c r="P39" s="100"/>
      <c r="Q39" s="100"/>
      <c r="R39" s="99"/>
      <c r="S39" s="99"/>
      <c r="T39" s="99"/>
      <c r="U39" s="99"/>
      <c r="V39" s="99"/>
    </row>
    <row r="40" spans="11:17">
      <c r="K40" s="100"/>
      <c r="L40" s="100"/>
      <c r="M40" s="100"/>
      <c r="N40" s="100"/>
      <c r="O40" s="100"/>
      <c r="P40" s="100"/>
      <c r="Q40" s="100"/>
    </row>
    <row r="41" ht="14.25" spans="11:17">
      <c r="K41" s="100"/>
      <c r="L41" s="100"/>
      <c r="M41" s="100"/>
      <c r="N41" s="100"/>
      <c r="O41" s="100"/>
      <c r="P41" s="100"/>
      <c r="Q41" s="100"/>
    </row>
    <row r="42" spans="1:19">
      <c r="A42" s="15" t="s">
        <v>311</v>
      </c>
      <c r="B42" s="15"/>
      <c r="C42" s="15"/>
      <c r="D42" s="15"/>
      <c r="E42" s="15"/>
      <c r="F42" s="15"/>
      <c r="G42" s="15"/>
      <c r="H42" s="15"/>
      <c r="I42" s="15"/>
      <c r="K42" s="88" t="s">
        <v>312</v>
      </c>
      <c r="L42" s="89"/>
      <c r="M42" s="89"/>
      <c r="N42" s="89"/>
      <c r="O42" s="89"/>
      <c r="P42" s="89"/>
      <c r="Q42" s="89"/>
      <c r="R42" s="89"/>
      <c r="S42" s="102"/>
    </row>
    <row r="43" ht="14.25" spans="1:19">
      <c r="A43" t="s">
        <v>254</v>
      </c>
      <c r="B43" t="s">
        <v>255</v>
      </c>
      <c r="D43" t="s">
        <v>176</v>
      </c>
      <c r="E43" t="s">
        <v>256</v>
      </c>
      <c r="K43" s="90"/>
      <c r="L43" s="91"/>
      <c r="M43" s="91"/>
      <c r="N43" s="91"/>
      <c r="O43" s="91"/>
      <c r="P43" s="91"/>
      <c r="Q43" s="91"/>
      <c r="R43" s="91"/>
      <c r="S43" s="103"/>
    </row>
    <row r="44" spans="2:17">
      <c r="B44">
        <v>100</v>
      </c>
      <c r="D44" t="s">
        <v>259</v>
      </c>
      <c r="E44" t="s">
        <v>260</v>
      </c>
      <c r="K44" s="86" t="s">
        <v>313</v>
      </c>
      <c r="L44" s="86"/>
      <c r="M44" s="86"/>
      <c r="N44" s="100"/>
      <c r="O44" s="100"/>
      <c r="P44" s="100"/>
      <c r="Q44" s="100"/>
    </row>
    <row r="45" spans="4:17">
      <c r="D45" t="s">
        <v>264</v>
      </c>
      <c r="E45" t="s">
        <v>314</v>
      </c>
      <c r="K45" s="100"/>
      <c r="L45" s="100"/>
      <c r="M45" s="100"/>
      <c r="N45" s="100"/>
      <c r="O45" s="100"/>
      <c r="P45" s="100"/>
      <c r="Q45" s="100"/>
    </row>
    <row r="46" spans="11:18">
      <c r="K46" s="100"/>
      <c r="L46" s="96" t="s">
        <v>289</v>
      </c>
      <c r="M46" s="96" t="s">
        <v>290</v>
      </c>
      <c r="N46" s="96" t="s">
        <v>291</v>
      </c>
      <c r="O46" s="97" t="s">
        <v>118</v>
      </c>
      <c r="P46" s="97" t="s">
        <v>293</v>
      </c>
      <c r="Q46" s="96" t="s">
        <v>145</v>
      </c>
      <c r="R46" s="96" t="s">
        <v>81</v>
      </c>
    </row>
    <row r="47" spans="11:18">
      <c r="K47" t="s">
        <v>315</v>
      </c>
      <c r="L47">
        <f>15/(15+20)</f>
        <v>0.428571428571429</v>
      </c>
      <c r="M47">
        <f>1-L47</f>
        <v>0.571428571428571</v>
      </c>
      <c r="N47">
        <v>10</v>
      </c>
      <c r="O47">
        <v>0.916666666666667</v>
      </c>
      <c r="P47">
        <f>N47*O47*M47</f>
        <v>5.23809523809524</v>
      </c>
      <c r="Q47">
        <f>1000/P47</f>
        <v>190.909090909091</v>
      </c>
      <c r="R47">
        <f>Q47/O47</f>
        <v>208.264462809917</v>
      </c>
    </row>
    <row r="48" spans="1:18">
      <c r="A48" t="s">
        <v>273</v>
      </c>
      <c r="B48" t="s">
        <v>255</v>
      </c>
      <c r="D48" t="s">
        <v>176</v>
      </c>
      <c r="E48" t="s">
        <v>256</v>
      </c>
      <c r="K48" t="s">
        <v>316</v>
      </c>
      <c r="L48">
        <f>(1-0.2)*$L$47</f>
        <v>0.342857142857143</v>
      </c>
      <c r="M48">
        <f>1-L48</f>
        <v>0.657142857142857</v>
      </c>
      <c r="N48">
        <f>40*0.2+10*(1-0.2/M48)</f>
        <v>14.9565217391304</v>
      </c>
      <c r="O48">
        <v>0.916666666666667</v>
      </c>
      <c r="P48">
        <f>N48*O48*M48</f>
        <v>9.00952380952381</v>
      </c>
      <c r="Q48">
        <f>1000/P48</f>
        <v>110.993657505285</v>
      </c>
      <c r="R48">
        <f>Q48/O48</f>
        <v>121.083990005766</v>
      </c>
    </row>
    <row r="49" spans="2:18">
      <c r="B49">
        <v>200</v>
      </c>
      <c r="D49" t="s">
        <v>259</v>
      </c>
      <c r="E49" t="s">
        <v>278</v>
      </c>
      <c r="K49" t="s">
        <v>317</v>
      </c>
      <c r="L49">
        <f>(1-0.2)*$L$47</f>
        <v>0.342857142857143</v>
      </c>
      <c r="M49">
        <f>1-L49</f>
        <v>0.657142857142857</v>
      </c>
      <c r="N49">
        <f>44*0.2+10*(1-0.2/M49)</f>
        <v>15.7565217391304</v>
      </c>
      <c r="O49">
        <v>0.916666666666667</v>
      </c>
      <c r="P49">
        <f>N49*O49*M49</f>
        <v>9.49142857142857</v>
      </c>
      <c r="Q49">
        <f>1000/P49</f>
        <v>105.358217940999</v>
      </c>
      <c r="R49">
        <f>Q49/O49</f>
        <v>114.936237753817</v>
      </c>
    </row>
    <row r="50" spans="4:18">
      <c r="D50" t="s">
        <v>264</v>
      </c>
      <c r="E50" t="s">
        <v>318</v>
      </c>
      <c r="K50" t="s">
        <v>319</v>
      </c>
      <c r="L50">
        <f>(1-0.2)*$L$47</f>
        <v>0.342857142857143</v>
      </c>
      <c r="M50">
        <f>1-L50</f>
        <v>0.657142857142857</v>
      </c>
      <c r="N50">
        <f>48*0.2+10*(1-0.2/M50)</f>
        <v>16.5565217391304</v>
      </c>
      <c r="O50">
        <v>0.916666666666667</v>
      </c>
      <c r="P50">
        <f>N50*O50*M50</f>
        <v>9.97333333333334</v>
      </c>
      <c r="Q50">
        <f>1000/P50</f>
        <v>100.267379679144</v>
      </c>
      <c r="R50">
        <f>Q50/O50</f>
        <v>109.382596013612</v>
      </c>
    </row>
    <row r="51" spans="11:18">
      <c r="K51" t="s">
        <v>320</v>
      </c>
      <c r="L51">
        <f>15/(15+25)</f>
        <v>0.375</v>
      </c>
      <c r="M51">
        <f>1-L51</f>
        <v>0.625</v>
      </c>
      <c r="N51">
        <v>12.5</v>
      </c>
      <c r="O51">
        <v>0.916666666666667</v>
      </c>
      <c r="P51">
        <f>N51*O51*M51</f>
        <v>7.16145833333334</v>
      </c>
      <c r="Q51">
        <f>1000/P51</f>
        <v>139.636363636364</v>
      </c>
      <c r="R51">
        <f>Q51/O51</f>
        <v>152.330578512397</v>
      </c>
    </row>
    <row r="55" spans="1:18">
      <c r="A55" s="15" t="s">
        <v>321</v>
      </c>
      <c r="B55" s="15"/>
      <c r="C55" s="15"/>
      <c r="D55" s="15"/>
      <c r="E55" s="15"/>
      <c r="F55" s="15"/>
      <c r="G55" s="15"/>
      <c r="H55" s="15"/>
      <c r="I55" s="15"/>
      <c r="K55" s="87" t="s">
        <v>322</v>
      </c>
      <c r="L55" s="87"/>
      <c r="M55" s="87"/>
      <c r="N55" s="87"/>
      <c r="O55" s="87"/>
      <c r="P55" s="87"/>
      <c r="Q55" s="87"/>
      <c r="R55" s="87"/>
    </row>
    <row r="56" spans="1:18">
      <c r="A56" t="s">
        <v>254</v>
      </c>
      <c r="B56" t="s">
        <v>255</v>
      </c>
      <c r="D56" t="s">
        <v>176</v>
      </c>
      <c r="E56" t="s">
        <v>256</v>
      </c>
      <c r="K56" s="87"/>
      <c r="L56" s="87"/>
      <c r="M56" s="87"/>
      <c r="N56" s="87"/>
      <c r="O56" s="87"/>
      <c r="P56" s="87"/>
      <c r="Q56" s="87"/>
      <c r="R56" s="87"/>
    </row>
    <row r="57" spans="2:18">
      <c r="B57">
        <v>100</v>
      </c>
      <c r="D57" t="s">
        <v>259</v>
      </c>
      <c r="E57" t="s">
        <v>260</v>
      </c>
      <c r="K57" s="87"/>
      <c r="L57" s="87"/>
      <c r="M57" s="87"/>
      <c r="N57" s="87"/>
      <c r="O57" s="87"/>
      <c r="P57" s="87"/>
      <c r="Q57" s="87"/>
      <c r="R57" s="87"/>
    </row>
    <row r="58" spans="4:18">
      <c r="D58" t="s">
        <v>264</v>
      </c>
      <c r="E58" t="s">
        <v>323</v>
      </c>
      <c r="K58" s="87"/>
      <c r="L58" s="87"/>
      <c r="M58" s="87"/>
      <c r="N58" s="87"/>
      <c r="O58" s="87"/>
      <c r="P58" s="87"/>
      <c r="Q58" s="87"/>
      <c r="R58" s="87"/>
    </row>
    <row r="59" spans="11:18">
      <c r="K59" s="87"/>
      <c r="L59" s="87"/>
      <c r="M59" s="87"/>
      <c r="N59" s="87"/>
      <c r="O59" s="87"/>
      <c r="P59" s="87"/>
      <c r="Q59" s="87"/>
      <c r="R59" s="87"/>
    </row>
    <row r="60" spans="11:18">
      <c r="K60" s="87"/>
      <c r="L60" s="87"/>
      <c r="M60" s="87"/>
      <c r="N60" s="87"/>
      <c r="O60" s="87"/>
      <c r="P60" s="87"/>
      <c r="Q60" s="87"/>
      <c r="R60" s="87"/>
    </row>
    <row r="61" spans="1:19">
      <c r="A61" t="s">
        <v>273</v>
      </c>
      <c r="B61" t="s">
        <v>255</v>
      </c>
      <c r="D61" t="s">
        <v>176</v>
      </c>
      <c r="E61" t="s">
        <v>256</v>
      </c>
      <c r="K61" s="88" t="s">
        <v>324</v>
      </c>
      <c r="L61" s="89"/>
      <c r="M61" s="89"/>
      <c r="N61" s="89"/>
      <c r="O61" s="89"/>
      <c r="P61" s="89"/>
      <c r="Q61" s="89"/>
      <c r="R61" s="89"/>
      <c r="S61" s="102"/>
    </row>
    <row r="62" ht="14.25" spans="2:19">
      <c r="B62">
        <v>200</v>
      </c>
      <c r="D62" t="s">
        <v>259</v>
      </c>
      <c r="E62" t="s">
        <v>278</v>
      </c>
      <c r="K62" s="90"/>
      <c r="L62" s="91"/>
      <c r="M62" s="91"/>
      <c r="N62" s="91"/>
      <c r="O62" s="91"/>
      <c r="P62" s="91"/>
      <c r="Q62" s="91"/>
      <c r="R62" s="91"/>
      <c r="S62" s="103"/>
    </row>
    <row r="63" spans="4:19">
      <c r="D63" t="s">
        <v>264</v>
      </c>
      <c r="E63" t="s">
        <v>325</v>
      </c>
      <c r="K63" s="101" t="s">
        <v>326</v>
      </c>
      <c r="L63" s="101"/>
      <c r="M63" s="101"/>
      <c r="N63" s="101"/>
      <c r="O63" s="101"/>
      <c r="P63" s="101"/>
      <c r="Q63" s="101"/>
      <c r="R63" s="101"/>
      <c r="S63" s="101"/>
    </row>
    <row r="64" spans="11:20">
      <c r="K64" s="101">
        <v>1</v>
      </c>
      <c r="L64" t="s">
        <v>327</v>
      </c>
      <c r="M64" s="87" t="s">
        <v>328</v>
      </c>
      <c r="N64" s="87"/>
      <c r="O64" s="87"/>
      <c r="P64" s="87"/>
      <c r="Q64" s="87"/>
      <c r="R64" s="87"/>
      <c r="S64" s="87"/>
      <c r="T64" s="87"/>
    </row>
    <row r="65" spans="11:20">
      <c r="K65">
        <v>2</v>
      </c>
      <c r="L65" t="s">
        <v>329</v>
      </c>
      <c r="M65" s="87" t="s">
        <v>330</v>
      </c>
      <c r="N65" s="87"/>
      <c r="O65" s="87"/>
      <c r="P65" s="87"/>
      <c r="Q65" s="87"/>
      <c r="R65" s="87"/>
      <c r="S65" s="87"/>
      <c r="T65" s="87"/>
    </row>
    <row r="66" spans="1:20">
      <c r="A66" t="s">
        <v>301</v>
      </c>
      <c r="B66" t="s">
        <v>255</v>
      </c>
      <c r="D66" t="s">
        <v>176</v>
      </c>
      <c r="E66" t="s">
        <v>256</v>
      </c>
      <c r="F66"/>
      <c r="G66" s="86" t="s">
        <v>331</v>
      </c>
      <c r="K66">
        <v>3</v>
      </c>
      <c r="L66" t="s">
        <v>332</v>
      </c>
      <c r="M66" s="87" t="s">
        <v>333</v>
      </c>
      <c r="N66" s="87"/>
      <c r="O66" s="87"/>
      <c r="P66" s="87"/>
      <c r="Q66" s="87"/>
      <c r="R66" s="87"/>
      <c r="S66" s="87"/>
      <c r="T66" s="87"/>
    </row>
    <row r="67" spans="2:20">
      <c r="B67" t="s">
        <v>223</v>
      </c>
      <c r="D67" t="s">
        <v>259</v>
      </c>
      <c r="E67" t="s">
        <v>303</v>
      </c>
      <c r="G67" s="87"/>
      <c r="K67">
        <v>4</v>
      </c>
      <c r="L67" t="s">
        <v>334</v>
      </c>
      <c r="M67" s="87" t="s">
        <v>335</v>
      </c>
      <c r="N67" s="87"/>
      <c r="O67" s="87"/>
      <c r="P67" s="87"/>
      <c r="Q67" s="87"/>
      <c r="R67" s="87"/>
      <c r="S67" s="87"/>
      <c r="T67" s="87"/>
    </row>
    <row r="68" spans="4:20">
      <c r="D68" t="s">
        <v>264</v>
      </c>
      <c r="E68" s="14" t="s">
        <v>336</v>
      </c>
      <c r="F68" t="s">
        <v>337</v>
      </c>
      <c r="G68" s="87"/>
      <c r="K68">
        <v>5</v>
      </c>
      <c r="L68" t="s">
        <v>338</v>
      </c>
      <c r="M68" s="87" t="s">
        <v>339</v>
      </c>
      <c r="N68" s="87"/>
      <c r="O68" s="87"/>
      <c r="P68" s="87"/>
      <c r="Q68" s="87"/>
      <c r="R68" s="87"/>
      <c r="S68" s="87"/>
      <c r="T68" s="87"/>
    </row>
    <row r="69" spans="1:20">
      <c r="A69" s="105" t="s">
        <v>340</v>
      </c>
      <c r="B69" s="105"/>
      <c r="C69" s="105"/>
      <c r="D69" s="105"/>
      <c r="E69" s="105"/>
      <c r="F69" s="105"/>
      <c r="G69" s="105"/>
      <c r="H69" s="105"/>
      <c r="K69">
        <v>6</v>
      </c>
      <c r="L69" t="s">
        <v>341</v>
      </c>
      <c r="M69" s="87" t="s">
        <v>342</v>
      </c>
      <c r="N69" s="87"/>
      <c r="O69" s="87"/>
      <c r="P69" s="87"/>
      <c r="Q69" s="87"/>
      <c r="R69" s="87"/>
      <c r="S69" s="87"/>
      <c r="T69" s="87"/>
    </row>
    <row r="70" spans="1:20">
      <c r="A70" s="105"/>
      <c r="B70" s="105"/>
      <c r="C70" s="105"/>
      <c r="D70" s="105"/>
      <c r="E70" s="105"/>
      <c r="F70" s="105"/>
      <c r="G70" s="105"/>
      <c r="H70" s="105"/>
      <c r="K70">
        <v>7</v>
      </c>
      <c r="L70" t="s">
        <v>343</v>
      </c>
      <c r="M70" s="87" t="s">
        <v>344</v>
      </c>
      <c r="N70" s="87"/>
      <c r="O70" s="87"/>
      <c r="P70" s="87"/>
      <c r="Q70" s="87"/>
      <c r="R70" s="87"/>
      <c r="S70" s="87"/>
      <c r="T70" s="87"/>
    </row>
    <row r="71" spans="1:8">
      <c r="A71" s="105"/>
      <c r="B71" s="105"/>
      <c r="C71" s="105"/>
      <c r="D71" s="105"/>
      <c r="E71" s="105"/>
      <c r="F71" s="105"/>
      <c r="G71" s="105"/>
      <c r="H71" s="105"/>
    </row>
    <row r="72" spans="1:8">
      <c r="A72" s="105"/>
      <c r="B72" s="105"/>
      <c r="C72" s="105"/>
      <c r="D72" s="105"/>
      <c r="E72" s="105"/>
      <c r="F72" s="105"/>
      <c r="G72" s="105"/>
      <c r="H72" s="105"/>
    </row>
    <row r="73" spans="1:19">
      <c r="A73" s="105"/>
      <c r="B73" s="105"/>
      <c r="C73" s="105"/>
      <c r="D73" s="105"/>
      <c r="E73" s="105"/>
      <c r="F73" s="105"/>
      <c r="G73" s="105"/>
      <c r="H73" s="105"/>
      <c r="L73" s="87">
        <v>1</v>
      </c>
      <c r="M73" s="87">
        <v>2</v>
      </c>
      <c r="N73" s="87">
        <v>3</v>
      </c>
      <c r="O73" s="87">
        <v>4</v>
      </c>
      <c r="P73" s="87">
        <v>5</v>
      </c>
      <c r="Q73" s="87">
        <v>6</v>
      </c>
      <c r="R73" s="87">
        <v>7</v>
      </c>
      <c r="S73" s="87"/>
    </row>
    <row r="74" spans="1:19">
      <c r="A74" s="105"/>
      <c r="B74" s="105"/>
      <c r="C74" s="105"/>
      <c r="D74" s="105"/>
      <c r="E74" s="105"/>
      <c r="F74" s="105"/>
      <c r="G74" s="105"/>
      <c r="H74" s="105"/>
      <c r="K74" t="s">
        <v>111</v>
      </c>
      <c r="L74">
        <v>41</v>
      </c>
      <c r="M74">
        <v>38</v>
      </c>
      <c r="N74">
        <v>38</v>
      </c>
      <c r="O74">
        <v>36</v>
      </c>
      <c r="P74">
        <v>38</v>
      </c>
      <c r="Q74">
        <v>36</v>
      </c>
      <c r="R74">
        <v>41</v>
      </c>
      <c r="S74">
        <v>50</v>
      </c>
    </row>
    <row r="75" spans="1:19">
      <c r="A75" s="105"/>
      <c r="B75" s="105"/>
      <c r="C75" s="105"/>
      <c r="D75" s="105"/>
      <c r="E75" s="105"/>
      <c r="F75" s="105"/>
      <c r="G75" s="105"/>
      <c r="H75" s="105"/>
      <c r="K75" t="s">
        <v>112</v>
      </c>
      <c r="L75">
        <v>165</v>
      </c>
      <c r="M75">
        <v>153</v>
      </c>
      <c r="N75">
        <v>152</v>
      </c>
      <c r="O75">
        <v>150</v>
      </c>
      <c r="P75">
        <v>158</v>
      </c>
      <c r="Q75">
        <v>153</v>
      </c>
      <c r="R75">
        <v>183</v>
      </c>
      <c r="S75">
        <v>250</v>
      </c>
    </row>
    <row r="76" spans="1:19">
      <c r="A76" s="105"/>
      <c r="B76" s="105"/>
      <c r="C76" s="105"/>
      <c r="D76" s="105"/>
      <c r="E76" s="105"/>
      <c r="F76" s="105"/>
      <c r="G76" s="105"/>
      <c r="H76" s="105"/>
      <c r="K76" t="s">
        <v>21</v>
      </c>
      <c r="L76">
        <v>4</v>
      </c>
      <c r="M76">
        <v>5</v>
      </c>
      <c r="N76">
        <v>6</v>
      </c>
      <c r="O76">
        <v>7</v>
      </c>
      <c r="P76">
        <v>6</v>
      </c>
      <c r="Q76">
        <v>7</v>
      </c>
      <c r="R76">
        <v>4</v>
      </c>
      <c r="S76">
        <v>6</v>
      </c>
    </row>
    <row r="77" spans="11:19">
      <c r="K77" t="s">
        <v>118</v>
      </c>
      <c r="L77">
        <v>1.11666666666667</v>
      </c>
      <c r="M77">
        <v>1.16666666666667</v>
      </c>
      <c r="N77">
        <v>1.21666666666667</v>
      </c>
      <c r="O77">
        <v>1.31666666666667</v>
      </c>
      <c r="P77">
        <v>1.21666666666667</v>
      </c>
      <c r="Q77">
        <v>1.31666666666667</v>
      </c>
      <c r="R77">
        <v>1.11666666666667</v>
      </c>
      <c r="S77">
        <v>1.16666666666667</v>
      </c>
    </row>
    <row r="78" spans="11:19">
      <c r="K78" t="s">
        <v>120</v>
      </c>
      <c r="L78">
        <v>3</v>
      </c>
      <c r="M78">
        <v>6</v>
      </c>
      <c r="N78">
        <v>4</v>
      </c>
      <c r="O78">
        <v>2</v>
      </c>
      <c r="P78">
        <v>6</v>
      </c>
      <c r="Q78">
        <v>2</v>
      </c>
      <c r="R78">
        <v>3</v>
      </c>
      <c r="S78">
        <v>10</v>
      </c>
    </row>
    <row r="79" spans="1:19">
      <c r="A79" s="15" t="s">
        <v>345</v>
      </c>
      <c r="B79" s="15"/>
      <c r="C79" s="15"/>
      <c r="D79" s="15"/>
      <c r="E79" s="15"/>
      <c r="F79" s="15"/>
      <c r="G79" s="15"/>
      <c r="H79" s="15"/>
      <c r="I79" s="15"/>
      <c r="K79" t="s">
        <v>346</v>
      </c>
      <c r="L79">
        <f>L78/(L78+10)</f>
        <v>0.230769230769231</v>
      </c>
      <c r="M79">
        <f>M78/(M78+10)</f>
        <v>0.375</v>
      </c>
      <c r="N79">
        <f>N78/(N78+10)</f>
        <v>0.285714285714286</v>
      </c>
      <c r="O79">
        <f>O78/(O78+10)</f>
        <v>0.166666666666667</v>
      </c>
      <c r="P79">
        <f>P78/(P78+10)</f>
        <v>0.375</v>
      </c>
      <c r="Q79">
        <f>Q78/(Q78+10)</f>
        <v>0.166666666666667</v>
      </c>
      <c r="R79">
        <f>R78/(R78+10)</f>
        <v>0.230769230769231</v>
      </c>
      <c r="S79">
        <f>S78/(S78+10)</f>
        <v>0.5</v>
      </c>
    </row>
    <row r="80" spans="1:19">
      <c r="A80" t="s">
        <v>254</v>
      </c>
      <c r="B80" t="s">
        <v>255</v>
      </c>
      <c r="D80" t="s">
        <v>176</v>
      </c>
      <c r="E80" t="s">
        <v>256</v>
      </c>
      <c r="K80" t="s">
        <v>347</v>
      </c>
      <c r="L80">
        <v>0.3</v>
      </c>
      <c r="M80">
        <v>0.3</v>
      </c>
      <c r="N80">
        <v>0.3</v>
      </c>
      <c r="O80">
        <v>0.3</v>
      </c>
      <c r="P80">
        <v>0.3</v>
      </c>
      <c r="Q80">
        <v>0.3</v>
      </c>
      <c r="R80">
        <v>0.3</v>
      </c>
      <c r="S80">
        <v>0.4</v>
      </c>
    </row>
    <row r="81" spans="2:19">
      <c r="B81">
        <v>100</v>
      </c>
      <c r="D81" t="s">
        <v>259</v>
      </c>
      <c r="E81" t="s">
        <v>260</v>
      </c>
      <c r="K81" t="s">
        <v>123</v>
      </c>
      <c r="L81">
        <v>1.43</v>
      </c>
      <c r="M81">
        <v>1.43</v>
      </c>
      <c r="N81">
        <v>1.43</v>
      </c>
      <c r="O81">
        <v>1.43</v>
      </c>
      <c r="P81">
        <v>1.43</v>
      </c>
      <c r="Q81">
        <v>1.43</v>
      </c>
      <c r="R81">
        <v>1.43</v>
      </c>
      <c r="S81">
        <v>1.58</v>
      </c>
    </row>
    <row r="82" spans="4:19">
      <c r="D82" t="s">
        <v>264</v>
      </c>
      <c r="E82" t="s">
        <v>256</v>
      </c>
      <c r="K82" t="s">
        <v>146</v>
      </c>
      <c r="L82">
        <v>0.175</v>
      </c>
      <c r="M82">
        <v>0.175</v>
      </c>
      <c r="N82">
        <v>0.175</v>
      </c>
      <c r="O82">
        <v>0.175</v>
      </c>
      <c r="P82">
        <v>0.175</v>
      </c>
      <c r="Q82">
        <v>0.175</v>
      </c>
      <c r="R82">
        <v>0.175</v>
      </c>
      <c r="S82">
        <v>0.175</v>
      </c>
    </row>
    <row r="83" spans="11:19">
      <c r="K83" t="s">
        <v>348</v>
      </c>
      <c r="L83">
        <f>L75*1.2-55</f>
        <v>143</v>
      </c>
      <c r="M83">
        <f>M75*1.2-55</f>
        <v>128.6</v>
      </c>
      <c r="N83">
        <f>N75*1.2-55</f>
        <v>127.4</v>
      </c>
      <c r="O83">
        <f>O75*1.2-55</f>
        <v>125</v>
      </c>
      <c r="P83">
        <f>P75*1.2-55</f>
        <v>134.6</v>
      </c>
      <c r="Q83">
        <f>Q75*1.2-55</f>
        <v>128.6</v>
      </c>
      <c r="R83">
        <f>R75*1.2-55</f>
        <v>164.6</v>
      </c>
      <c r="S83">
        <f>S75*1.2-55</f>
        <v>245</v>
      </c>
    </row>
    <row r="84" spans="1:19">
      <c r="A84" t="s">
        <v>273</v>
      </c>
      <c r="B84" t="s">
        <v>255</v>
      </c>
      <c r="D84" t="s">
        <v>176</v>
      </c>
      <c r="E84" t="s">
        <v>256</v>
      </c>
      <c r="K84" t="s">
        <v>349</v>
      </c>
      <c r="L84" s="13">
        <f>L83*L82</f>
        <v>25.025</v>
      </c>
      <c r="M84" s="13">
        <f>M83*M82</f>
        <v>22.505</v>
      </c>
      <c r="N84" s="13">
        <f>N83*N82</f>
        <v>22.295</v>
      </c>
      <c r="O84" s="13">
        <f>O83*O82</f>
        <v>21.875</v>
      </c>
      <c r="P84" s="13">
        <f>P83*P82</f>
        <v>23.555</v>
      </c>
      <c r="Q84" s="13">
        <f>Q83*Q82</f>
        <v>22.505</v>
      </c>
      <c r="R84" s="13">
        <f>R83*R82</f>
        <v>28.805</v>
      </c>
      <c r="S84" s="13">
        <f>S83*S82</f>
        <v>42.875</v>
      </c>
    </row>
    <row r="85" spans="2:19">
      <c r="B85">
        <v>200</v>
      </c>
      <c r="D85" t="s">
        <v>259</v>
      </c>
      <c r="E85" t="s">
        <v>278</v>
      </c>
      <c r="K85" t="s">
        <v>350</v>
      </c>
      <c r="L85">
        <v>0.08</v>
      </c>
      <c r="M85">
        <v>0.08</v>
      </c>
      <c r="N85">
        <v>0.08</v>
      </c>
      <c r="O85">
        <v>0.08</v>
      </c>
      <c r="P85">
        <v>0.08</v>
      </c>
      <c r="Q85">
        <v>0.08</v>
      </c>
      <c r="R85">
        <v>0.08</v>
      </c>
      <c r="S85">
        <v>0.08</v>
      </c>
    </row>
    <row r="86" spans="4:19">
      <c r="D86" t="s">
        <v>264</v>
      </c>
      <c r="E86" t="s">
        <v>260</v>
      </c>
      <c r="K86" t="s">
        <v>351</v>
      </c>
      <c r="L86">
        <f>L74*2</f>
        <v>82</v>
      </c>
      <c r="M86">
        <f>M74*2</f>
        <v>76</v>
      </c>
      <c r="N86">
        <f>N74*2</f>
        <v>76</v>
      </c>
      <c r="O86">
        <f>O74*2</f>
        <v>72</v>
      </c>
      <c r="P86">
        <f>P74*2</f>
        <v>76</v>
      </c>
      <c r="Q86">
        <f>Q74*2</f>
        <v>72</v>
      </c>
      <c r="R86">
        <f>R74*2</f>
        <v>82</v>
      </c>
      <c r="S86">
        <f>S74*2</f>
        <v>100</v>
      </c>
    </row>
    <row r="87" spans="11:19">
      <c r="K87" t="s">
        <v>352</v>
      </c>
      <c r="L87">
        <f>L75*2</f>
        <v>330</v>
      </c>
      <c r="M87">
        <f>M75*2</f>
        <v>306</v>
      </c>
      <c r="N87">
        <f>N75*2</f>
        <v>304</v>
      </c>
      <c r="O87">
        <f>O75*2</f>
        <v>300</v>
      </c>
      <c r="P87">
        <f>P75*2</f>
        <v>316</v>
      </c>
      <c r="Q87">
        <f>Q75*2</f>
        <v>306</v>
      </c>
      <c r="R87">
        <f>R75*2</f>
        <v>366</v>
      </c>
      <c r="S87">
        <f>S75*2</f>
        <v>500</v>
      </c>
    </row>
    <row r="88" spans="1:19">
      <c r="A88" t="s">
        <v>301</v>
      </c>
      <c r="B88" t="s">
        <v>255</v>
      </c>
      <c r="D88" t="s">
        <v>176</v>
      </c>
      <c r="E88" t="s">
        <v>256</v>
      </c>
      <c r="G88" s="86" t="s">
        <v>353</v>
      </c>
      <c r="K88" t="s">
        <v>354</v>
      </c>
      <c r="L88">
        <f>L86*L81</f>
        <v>117.26</v>
      </c>
      <c r="M88">
        <f>M86*M81</f>
        <v>108.68</v>
      </c>
      <c r="N88">
        <f>N86*N81</f>
        <v>108.68</v>
      </c>
      <c r="O88">
        <f>O86*O81</f>
        <v>102.96</v>
      </c>
      <c r="P88">
        <f>P86*P81</f>
        <v>108.68</v>
      </c>
      <c r="Q88">
        <f>Q86*Q81</f>
        <v>102.96</v>
      </c>
      <c r="R88">
        <f>R86*R81</f>
        <v>117.26</v>
      </c>
      <c r="S88">
        <f>S86*S81</f>
        <v>158</v>
      </c>
    </row>
    <row r="89" spans="2:19">
      <c r="B89" t="s">
        <v>223</v>
      </c>
      <c r="D89" t="s">
        <v>259</v>
      </c>
      <c r="E89" t="s">
        <v>303</v>
      </c>
      <c r="G89" s="87"/>
      <c r="K89" t="s">
        <v>355</v>
      </c>
      <c r="L89">
        <f>L87*L81</f>
        <v>471.9</v>
      </c>
      <c r="M89">
        <f>M87*M81</f>
        <v>437.58</v>
      </c>
      <c r="N89">
        <f>N87*N81</f>
        <v>434.72</v>
      </c>
      <c r="O89">
        <f>O87*O81</f>
        <v>429</v>
      </c>
      <c r="P89">
        <f>P87*P81</f>
        <v>451.88</v>
      </c>
      <c r="Q89">
        <f>Q87*Q81</f>
        <v>437.58</v>
      </c>
      <c r="R89">
        <f>R87*R81</f>
        <v>523.38</v>
      </c>
      <c r="S89">
        <f>S87*S81</f>
        <v>790</v>
      </c>
    </row>
    <row r="90" spans="4:19">
      <c r="D90" t="s">
        <v>264</v>
      </c>
      <c r="E90" s="14" t="s">
        <v>356</v>
      </c>
      <c r="F90" t="s">
        <v>357</v>
      </c>
      <c r="G90" s="87"/>
      <c r="K90" t="s">
        <v>358</v>
      </c>
      <c r="L90" s="13">
        <f>((L86+L87)/2*(1-$L$79)*(1-$L$80)+(L88+L89)/2*(1-$L$79)*$L$80+L87*$L$79*(1-$L$80)+L89*$L$79*$L$80)*L85</f>
        <v>21.1904615384615</v>
      </c>
      <c r="M90" s="13">
        <f>((M86+M87)/2*(1-$L$79)*(1-$L$80)+(M88+M89)/2*(1-$L$79)*$L$80+M87*$L$79*(1-$L$80)+M89*$L$79*$L$80)*M85</f>
        <v>19.6480738461538</v>
      </c>
      <c r="N90" s="13">
        <f>((N86+N87)/2*(1-$L$79)*(1-$L$80)+(N88+N89)/2*(1-$L$79)*$L$80+N87*$L$79*(1-$L$80)+N89*$L$79*$L$80)*N85</f>
        <v>19.5369107692308</v>
      </c>
      <c r="O90" s="13">
        <f>((O86+O87)/2*(1-$L$79)*(1-$L$80)+(O88+O89)/2*(1-$L$79)*$L$80+O87*$L$79*(1-$L$80)+O89*$L$79*$L$80)*O85</f>
        <v>19.1756307692308</v>
      </c>
      <c r="P90" s="13">
        <f>((P86+P87)/2*(1-$L$79)*(1-$L$80)+(P88+P89)/2*(1-$L$79)*$L$80+P87*$L$79*(1-$L$80)+P89*$L$79*$L$80)*P85</f>
        <v>20.2038892307692</v>
      </c>
      <c r="Q90" s="13">
        <f>((Q86+Q87)/2*(1-$L$79)*(1-$L$80)+(Q88+Q89)/2*(1-$L$79)*$L$80+Q87*$L$79*(1-$L$80)+Q89*$L$79*$L$80)*Q85</f>
        <v>19.50912</v>
      </c>
      <c r="R90" s="13">
        <f>((R86+R87)/2*(1-$L$79)*(1-$L$80)+(R88+R89)/2*(1-$L$79)*$L$80+R87*$L$79*(1-$L$80)+R89*$L$79*$L$80)*R85</f>
        <v>23.1913969230769</v>
      </c>
      <c r="S90" s="13">
        <f>((S86+S87)/2*(1-$L$79)*(1-$L$80)+(S88+S89)/2*(1-$L$79)*$L$80+S87*$L$79*(1-$L$80)+S89*$L$79*$L$80)*S85</f>
        <v>32.5107692307692</v>
      </c>
    </row>
    <row r="91" spans="11:19">
      <c r="K91" t="s">
        <v>359</v>
      </c>
      <c r="L91">
        <v>0.0916438356164384</v>
      </c>
      <c r="M91">
        <v>0.0916438356164384</v>
      </c>
      <c r="N91">
        <v>0.0916438356164384</v>
      </c>
      <c r="O91">
        <v>0.0916438356164384</v>
      </c>
      <c r="P91">
        <v>0.0916438356164384</v>
      </c>
      <c r="Q91">
        <v>0.0916438356164384</v>
      </c>
      <c r="R91">
        <v>0.0916438356164384</v>
      </c>
      <c r="S91">
        <v>0.0916438356164384</v>
      </c>
    </row>
    <row r="92" spans="11:19">
      <c r="K92" t="s">
        <v>360</v>
      </c>
      <c r="L92">
        <f>L74*3-55</f>
        <v>68</v>
      </c>
      <c r="M92">
        <f>M74*3-55</f>
        <v>59</v>
      </c>
      <c r="N92">
        <f>N74*3-55</f>
        <v>59</v>
      </c>
      <c r="O92">
        <f>O74*3-55</f>
        <v>53</v>
      </c>
      <c r="P92">
        <f>P74*3-55</f>
        <v>59</v>
      </c>
      <c r="Q92">
        <f>Q74*3-55</f>
        <v>53</v>
      </c>
      <c r="R92">
        <f>R74*3-55</f>
        <v>68</v>
      </c>
      <c r="S92">
        <f>S74*3-55</f>
        <v>95</v>
      </c>
    </row>
    <row r="93" spans="1:19">
      <c r="A93" s="15" t="s">
        <v>361</v>
      </c>
      <c r="B93" s="15"/>
      <c r="C93" s="15"/>
      <c r="D93" s="15"/>
      <c r="E93" s="15"/>
      <c r="F93" s="15"/>
      <c r="G93" s="15"/>
      <c r="H93" s="15"/>
      <c r="I93" s="15"/>
      <c r="K93" t="s">
        <v>362</v>
      </c>
      <c r="L93">
        <f>L75*3-55</f>
        <v>440</v>
      </c>
      <c r="M93">
        <f>M75*3-55</f>
        <v>404</v>
      </c>
      <c r="N93">
        <f>N75*3-55</f>
        <v>401</v>
      </c>
      <c r="O93">
        <f>O75*3-55</f>
        <v>395</v>
      </c>
      <c r="P93">
        <f>P75*3-55</f>
        <v>419</v>
      </c>
      <c r="Q93">
        <f>Q75*3-55</f>
        <v>404</v>
      </c>
      <c r="R93">
        <f>R75*3-55</f>
        <v>494</v>
      </c>
      <c r="S93">
        <f>S75*3-55</f>
        <v>695</v>
      </c>
    </row>
    <row r="94" spans="1:19">
      <c r="A94" t="s">
        <v>254</v>
      </c>
      <c r="B94" t="s">
        <v>255</v>
      </c>
      <c r="D94" t="s">
        <v>176</v>
      </c>
      <c r="E94" t="s">
        <v>256</v>
      </c>
      <c r="K94" t="s">
        <v>363</v>
      </c>
      <c r="L94">
        <f>L74*3*L81-55</f>
        <v>120.89</v>
      </c>
      <c r="M94">
        <f>M74*3*M81-55</f>
        <v>108.02</v>
      </c>
      <c r="N94">
        <f>N74*3*N81-55</f>
        <v>108.02</v>
      </c>
      <c r="O94">
        <f>O74*3*O81-55</f>
        <v>99.44</v>
      </c>
      <c r="P94">
        <f>P74*3*P81-55</f>
        <v>108.02</v>
      </c>
      <c r="Q94">
        <f>Q74*3*Q81-55</f>
        <v>99.44</v>
      </c>
      <c r="R94">
        <f>R74*3*R81-55</f>
        <v>120.89</v>
      </c>
      <c r="S94">
        <f>S74*3*S81-55</f>
        <v>182</v>
      </c>
    </row>
    <row r="95" spans="2:19">
      <c r="B95">
        <v>100</v>
      </c>
      <c r="D95" t="s">
        <v>259</v>
      </c>
      <c r="E95" t="s">
        <v>260</v>
      </c>
      <c r="K95" t="s">
        <v>364</v>
      </c>
      <c r="L95">
        <f>L75*3*L81-55</f>
        <v>652.85</v>
      </c>
      <c r="M95">
        <f>M75*3*M81-55</f>
        <v>601.37</v>
      </c>
      <c r="N95">
        <f>N75*3*N81-55</f>
        <v>597.08</v>
      </c>
      <c r="O95">
        <f>O75*3*O81-55</f>
        <v>588.5</v>
      </c>
      <c r="P95">
        <f>P75*3*P81-55</f>
        <v>622.82</v>
      </c>
      <c r="Q95">
        <f>Q75*3*Q81-55</f>
        <v>601.37</v>
      </c>
      <c r="R95">
        <f>R75*3*R81-55</f>
        <v>730.07</v>
      </c>
      <c r="S95">
        <f>S75*3*S81-55</f>
        <v>1130</v>
      </c>
    </row>
    <row r="96" spans="4:19">
      <c r="D96" t="s">
        <v>264</v>
      </c>
      <c r="E96" s="14" t="s">
        <v>365</v>
      </c>
      <c r="K96" t="s">
        <v>366</v>
      </c>
      <c r="L96" s="13">
        <f>((L92+L93)/2*(1-$L$79)*(1-$L$80)+(L94+L95)/2*(1-$L$79)*$L$80+L93*$L$79*(1-$L$80)+L95*$L$79*$L$80)*L91</f>
        <v>31.3716235511064</v>
      </c>
      <c r="M96" s="13">
        <f>((M92+M93)/2*(1-$L$79)*(1-$L$80)+(M94+M95)/2*(1-$L$79)*$L$80+M93*$L$79*(1-$L$80)+M95*$L$79*$L$80)*M91</f>
        <v>28.7213049736565</v>
      </c>
      <c r="N96" s="13">
        <f>((N92+N93)/2*(1-$L$79)*(1-$L$80)+(N94+N95)/2*(1-$L$79)*$L$80+N93*$L$79*(1-$L$80)+N95*$L$79*$L$80)*N91</f>
        <v>28.5302910221286</v>
      </c>
      <c r="O96" s="13">
        <f>((O92+O93)/2*(1-$L$79)*(1-$L$80)+(O94+O95)/2*(1-$L$79)*$L$80+O93*$L$79*(1-$L$80)+O95*$L$79*$L$80)*O91</f>
        <v>27.9094956796628</v>
      </c>
      <c r="P96" s="13">
        <f>((P92+P93)/2*(1-$L$79)*(1-$L$80)+(P94+P95)/2*(1-$L$79)*$L$80+P93*$L$79*(1-$L$80)+P95*$L$79*$L$80)*P91</f>
        <v>29.6763747312961</v>
      </c>
      <c r="Q96" s="13">
        <f>((Q92+Q93)/2*(1-$L$79)*(1-$L$80)+(Q94+Q95)/2*(1-$L$79)*$L$80+Q93*$L$79*(1-$L$80)+Q95*$L$79*$L$80)*Q91</f>
        <v>28.4825375342466</v>
      </c>
      <c r="R96" s="13">
        <f>((R92+R93)/2*(1-$L$79)*(1-$L$80)+(R94+R95)/2*(1-$L$79)*$L$80+R93*$L$79*(1-$L$80)+R95*$L$79*$L$80)*R91</f>
        <v>34.8098746786091</v>
      </c>
      <c r="S96" s="13">
        <f>((S92+S93)/2*(1-$L$79)*(1-$L$80)+(S94+S95)/2*(1-$L$79)*$L$80+S93*$L$79*(1-$L$80)+S95*$L$79*$L$80)*S91</f>
        <v>50.8235563751317</v>
      </c>
    </row>
    <row r="97" spans="11:19">
      <c r="K97" t="s">
        <v>367</v>
      </c>
      <c r="L97">
        <v>0.0774305555555556</v>
      </c>
      <c r="M97">
        <v>0.0774305555555556</v>
      </c>
      <c r="N97">
        <v>0.0774305555555556</v>
      </c>
      <c r="O97">
        <v>0.0774305555555556</v>
      </c>
      <c r="P97">
        <v>0.0774305555555556</v>
      </c>
      <c r="Q97">
        <v>0.0774305555555556</v>
      </c>
      <c r="R97">
        <v>0.0774305555555556</v>
      </c>
      <c r="S97">
        <v>0.0774305555555556</v>
      </c>
    </row>
    <row r="98" spans="1:19">
      <c r="A98" t="s">
        <v>273</v>
      </c>
      <c r="B98" t="s">
        <v>255</v>
      </c>
      <c r="D98" t="s">
        <v>176</v>
      </c>
      <c r="E98" t="s">
        <v>256</v>
      </c>
      <c r="K98" t="s">
        <v>368</v>
      </c>
      <c r="L98">
        <f>L74*3-55</f>
        <v>68</v>
      </c>
      <c r="M98">
        <f>M74*3-55</f>
        <v>59</v>
      </c>
      <c r="N98">
        <f>N74*3-55</f>
        <v>59</v>
      </c>
      <c r="O98">
        <f>O74*3-55</f>
        <v>53</v>
      </c>
      <c r="P98">
        <f>P74*3-55</f>
        <v>59</v>
      </c>
      <c r="Q98">
        <f>Q74*3-55</f>
        <v>53</v>
      </c>
      <c r="R98">
        <f>R74*3-55</f>
        <v>68</v>
      </c>
      <c r="S98">
        <f>S74*3-55</f>
        <v>95</v>
      </c>
    </row>
    <row r="99" spans="2:19">
      <c r="B99">
        <v>200</v>
      </c>
      <c r="D99" t="s">
        <v>259</v>
      </c>
      <c r="E99" t="s">
        <v>278</v>
      </c>
      <c r="K99" t="s">
        <v>369</v>
      </c>
      <c r="L99">
        <f>L75*3-55</f>
        <v>440</v>
      </c>
      <c r="M99">
        <f>M75*3-55</f>
        <v>404</v>
      </c>
      <c r="N99">
        <f>N75*3-55</f>
        <v>401</v>
      </c>
      <c r="O99">
        <f>O75*3-55</f>
        <v>395</v>
      </c>
      <c r="P99">
        <f>P75*3-55</f>
        <v>419</v>
      </c>
      <c r="Q99">
        <f>Q75*3-55</f>
        <v>404</v>
      </c>
      <c r="R99">
        <f>R75*3-55</f>
        <v>494</v>
      </c>
      <c r="S99">
        <f>S75*3-55</f>
        <v>695</v>
      </c>
    </row>
    <row r="100" spans="4:19">
      <c r="D100" t="s">
        <v>264</v>
      </c>
      <c r="E100" t="s">
        <v>309</v>
      </c>
      <c r="K100" t="s">
        <v>370</v>
      </c>
      <c r="L100">
        <f>L74*3*L81-55</f>
        <v>120.89</v>
      </c>
      <c r="M100">
        <f>M74*3*M81-55</f>
        <v>108.02</v>
      </c>
      <c r="N100">
        <f>N74*3*N81-55</f>
        <v>108.02</v>
      </c>
      <c r="O100">
        <f>O74*3*O81-55</f>
        <v>99.44</v>
      </c>
      <c r="P100">
        <f>P74*3*P81-55</f>
        <v>108.02</v>
      </c>
      <c r="Q100">
        <f>Q74*3*Q81-55</f>
        <v>99.44</v>
      </c>
      <c r="R100">
        <f>R74*3*R81-55</f>
        <v>120.89</v>
      </c>
      <c r="S100">
        <f>S74*3*S81-55</f>
        <v>182</v>
      </c>
    </row>
    <row r="101" spans="11:19">
      <c r="K101" t="s">
        <v>371</v>
      </c>
      <c r="L101">
        <f>L75*3*L81-55</f>
        <v>652.85</v>
      </c>
      <c r="M101">
        <f>M75*3*M81-55</f>
        <v>601.37</v>
      </c>
      <c r="N101">
        <f>N75*3*N81-55</f>
        <v>597.08</v>
      </c>
      <c r="O101">
        <f>O75*3*O81-55</f>
        <v>588.5</v>
      </c>
      <c r="P101">
        <f>P75*3*P81-55</f>
        <v>622.82</v>
      </c>
      <c r="Q101">
        <f>Q75*3*Q81-55</f>
        <v>601.37</v>
      </c>
      <c r="R101">
        <f>R75*3*R81-55</f>
        <v>730.07</v>
      </c>
      <c r="S101">
        <f>S75*3*S81-55</f>
        <v>1130</v>
      </c>
    </row>
    <row r="102" spans="1:19">
      <c r="A102" t="s">
        <v>301</v>
      </c>
      <c r="B102" t="s">
        <v>255</v>
      </c>
      <c r="D102" t="s">
        <v>176</v>
      </c>
      <c r="E102" t="s">
        <v>256</v>
      </c>
      <c r="G102" s="86" t="s">
        <v>372</v>
      </c>
      <c r="K102" t="s">
        <v>373</v>
      </c>
      <c r="L102" s="13">
        <f>((L98+L99)/2*(1-$L$79)*(1-$L$80)+(L100+L101)/2*(1-$L$79)*$L$80+L99*$L$79*(1-$L$80)+L101*$L$79*$L$80)*L97</f>
        <v>26.5061171207265</v>
      </c>
      <c r="M102" s="13">
        <f>((M98+M99)/2*(1-$L$79)*(1-$L$80)+(M100+M101)/2*(1-$L$79)*$L$80+M99*$L$79*(1-$L$80)+M101*$L$79*$L$80)*M97</f>
        <v>24.2668433226496</v>
      </c>
      <c r="N102" s="13">
        <f>((N98+N99)/2*(1-$L$79)*(1-$L$80)+(N100+N101)/2*(1-$L$79)*$L$80+N99*$L$79*(1-$L$80)+N101*$L$79*$L$80)*N97</f>
        <v>24.1054542200855</v>
      </c>
      <c r="O102" s="13">
        <f>((O98+O99)/2*(1-$L$79)*(1-$L$80)+(O100+O101)/2*(1-$L$79)*$L$80+O99*$L$79*(1-$L$80)+O101*$L$79*$L$80)*O97</f>
        <v>23.5809396367521</v>
      </c>
      <c r="P102" s="13">
        <f>((P98+P99)/2*(1-$L$79)*(1-$L$80)+(P100+P101)/2*(1-$L$79)*$L$80+P99*$L$79*(1-$L$80)+P101*$L$79*$L$80)*P97</f>
        <v>25.0737888354701</v>
      </c>
      <c r="Q102" s="13">
        <f>((Q98+Q99)/2*(1-$L$79)*(1-$L$80)+(Q100+Q101)/2*(1-$L$79)*$L$80+Q99*$L$79*(1-$L$80)+Q101*$L$79*$L$80)*Q97</f>
        <v>24.0651069444445</v>
      </c>
      <c r="R102" s="13">
        <f>((R98+R99)/2*(1-$L$79)*(1-$L$80)+(R100+R101)/2*(1-$L$79)*$L$80+R99*$L$79*(1-$L$80)+R101*$L$79*$L$80)*R97</f>
        <v>29.4111209668804</v>
      </c>
      <c r="S102" s="13">
        <f>((S98+S99)/2*(1-$L$79)*(1-$L$80)+(S100+S101)/2*(1-$L$79)*$L$80+S99*$L$79*(1-$L$80)+S101*$L$79*$L$80)*S97</f>
        <v>42.9411992521368</v>
      </c>
    </row>
    <row r="103" spans="2:19">
      <c r="B103" t="s">
        <v>223</v>
      </c>
      <c r="D103" t="s">
        <v>259</v>
      </c>
      <c r="E103" t="s">
        <v>303</v>
      </c>
      <c r="G103" s="87"/>
      <c r="K103" t="s">
        <v>374</v>
      </c>
      <c r="L103">
        <f>1-SUM(L82,L85,L91,L97)</f>
        <v>0.575925608828006</v>
      </c>
      <c r="M103">
        <f>1-SUM(M82,M85,M91,M97)</f>
        <v>0.575925608828006</v>
      </c>
      <c r="N103">
        <f>1-SUM(N82,N85,N91,N97)</f>
        <v>0.575925608828006</v>
      </c>
      <c r="O103">
        <f>1-SUM(O82,O85,O91,O97)</f>
        <v>0.575925608828006</v>
      </c>
      <c r="P103">
        <f>1-SUM(P82,P85,P91,P97)</f>
        <v>0.575925608828006</v>
      </c>
      <c r="Q103">
        <f>1-SUM(Q82,Q85,Q91,Q97)</f>
        <v>0.575925608828006</v>
      </c>
      <c r="R103">
        <f>1-SUM(R82,R85,R91,R97)</f>
        <v>0.575925608828006</v>
      </c>
      <c r="S103">
        <f>1-SUM(S82,S85,S91,S97)</f>
        <v>0.575925608828006</v>
      </c>
    </row>
    <row r="104" spans="4:19">
      <c r="D104" t="s">
        <v>264</v>
      </c>
      <c r="E104" s="14" t="s">
        <v>375</v>
      </c>
      <c r="F104" s="2" t="s">
        <v>376</v>
      </c>
      <c r="G104" s="87"/>
      <c r="K104" t="s">
        <v>377</v>
      </c>
      <c r="L104">
        <f>L74-55</f>
        <v>-14</v>
      </c>
      <c r="M104">
        <f>M74-55</f>
        <v>-17</v>
      </c>
      <c r="N104">
        <f>N74-55</f>
        <v>-17</v>
      </c>
      <c r="O104">
        <f>O74-55</f>
        <v>-19</v>
      </c>
      <c r="P104">
        <f>P74-55</f>
        <v>-17</v>
      </c>
      <c r="Q104">
        <f>Q74-55</f>
        <v>-19</v>
      </c>
      <c r="R104">
        <f>R74-55</f>
        <v>-14</v>
      </c>
      <c r="S104">
        <f>S74-55</f>
        <v>-5</v>
      </c>
    </row>
    <row r="105" spans="11:19">
      <c r="K105" t="s">
        <v>378</v>
      </c>
      <c r="L105">
        <f>L75-55</f>
        <v>110</v>
      </c>
      <c r="M105">
        <f>M75-55</f>
        <v>98</v>
      </c>
      <c r="N105">
        <f>N75-55</f>
        <v>97</v>
      </c>
      <c r="O105">
        <f>O75-55</f>
        <v>95</v>
      </c>
      <c r="P105">
        <f>P75-55</f>
        <v>103</v>
      </c>
      <c r="Q105">
        <f>Q75-55</f>
        <v>98</v>
      </c>
      <c r="R105">
        <f>R75-55</f>
        <v>128</v>
      </c>
      <c r="S105">
        <f>S75-55</f>
        <v>195</v>
      </c>
    </row>
    <row r="106" spans="11:19">
      <c r="K106" t="s">
        <v>379</v>
      </c>
      <c r="L106">
        <f>L74*L81-55</f>
        <v>3.63</v>
      </c>
      <c r="M106">
        <f>M74*M81-55</f>
        <v>-0.660000000000004</v>
      </c>
      <c r="N106">
        <f>N74*N81-55</f>
        <v>-0.660000000000004</v>
      </c>
      <c r="O106">
        <f>O74*O81-55</f>
        <v>-3.52</v>
      </c>
      <c r="P106">
        <f>P74*P81-55</f>
        <v>-0.660000000000004</v>
      </c>
      <c r="Q106">
        <f>Q74*Q81-55</f>
        <v>-3.52</v>
      </c>
      <c r="R106">
        <f>R74*R81-55</f>
        <v>3.63</v>
      </c>
      <c r="S106">
        <f>S74*S81-55</f>
        <v>24</v>
      </c>
    </row>
    <row r="107" spans="1:19">
      <c r="A107" s="15" t="s">
        <v>380</v>
      </c>
      <c r="B107" s="15"/>
      <c r="C107" s="15"/>
      <c r="D107" s="15"/>
      <c r="E107" s="15"/>
      <c r="F107" s="15"/>
      <c r="G107" s="15"/>
      <c r="H107" s="15"/>
      <c r="I107" s="15"/>
      <c r="K107" t="s">
        <v>381</v>
      </c>
      <c r="L107">
        <f>L75*L81-55</f>
        <v>180.95</v>
      </c>
      <c r="M107">
        <f>M75*M81-55</f>
        <v>163.79</v>
      </c>
      <c r="N107">
        <f>N75*N81-55</f>
        <v>162.36</v>
      </c>
      <c r="O107">
        <f>O75*O81-55</f>
        <v>159.5</v>
      </c>
      <c r="P107">
        <f>P75*P81-55</f>
        <v>170.94</v>
      </c>
      <c r="Q107">
        <f>Q75*Q81-55</f>
        <v>163.79</v>
      </c>
      <c r="R107">
        <f>R75*R81-55</f>
        <v>206.69</v>
      </c>
      <c r="S107">
        <f>S75*S81-55</f>
        <v>340</v>
      </c>
    </row>
    <row r="108" spans="1:19">
      <c r="A108" t="s">
        <v>254</v>
      </c>
      <c r="B108" t="s">
        <v>255</v>
      </c>
      <c r="D108" t="s">
        <v>176</v>
      </c>
      <c r="E108" t="s">
        <v>256</v>
      </c>
      <c r="K108" t="s">
        <v>382</v>
      </c>
      <c r="L108">
        <f>(L105/2*(1-$L$79)*(1-$L$80)*L105/(L105-L104)+(L106+L107)/2*(1-$L$79)*L105/(L105-L104)*$L$80+L105*$L$79*(1-$L$80)+L107*$L$79*$L$80)*L103</f>
        <v>43.4601324448533</v>
      </c>
      <c r="M108">
        <f>(M105/2*(1-$L$79)*(1-$L$80)*M105/(M105-M104)+(M106+M107)/2*(1-$L$79)*M105/(M105-M104)*$L$80+M105*$L$79*(1-$L$80)+M107*$L$79*$L$80)*M103</f>
        <v>37.8351824695172</v>
      </c>
      <c r="N108">
        <f>(N105/2*(1-$L$79)*(1-$L$80)*N105/(N105-N104)+(N106+N107)/2*(1-$L$79)*N105/(N105-N104)*$L$80+N105*$L$79*(1-$L$80)+N107*$L$79*$L$80)*N103</f>
        <v>37.4385789344136</v>
      </c>
      <c r="O108">
        <f>(O105/2*(1-$L$79)*(1-$L$80)*O105/(O105-O104)+(O106+O107)/2*(1-$L$79)*O105/(O105-O104)*$L$80+O105*$L$79*(1-$L$80)+O107*$L$79*$L$80)*O103</f>
        <v>36.1109048565986</v>
      </c>
      <c r="P108">
        <f>(P105/2*(1-$L$79)*(1-$L$80)*P105/(P105-P104)+(P106+P107)/2*(1-$L$79)*P105/(P105-P104)*$L$80+P105*$L$79*(1-$L$80)+P107*$L$79*$L$80)*P103</f>
        <v>39.8190831093158</v>
      </c>
      <c r="Q108">
        <f>(Q105/2*(1-$L$79)*(1-$L$80)*Q105/(Q105-Q104)+(Q106+Q107)/2*(1-$L$79)*Q105/(Q105-Q104)*$L$80+Q105*$L$79*(1-$L$80)+Q107*$L$79*$L$80)*Q103</f>
        <v>37.2967216751507</v>
      </c>
      <c r="R108">
        <f>(R105/2*(1-$L$79)*(1-$L$80)*R105/(R105-R104)+(R106+R107)/2*(1-$L$79)*R105/(R105-R104)*$L$80+R105*$L$79*(1-$L$80)+R107*$L$79*$L$80)*R103</f>
        <v>50.6384064134545</v>
      </c>
      <c r="S108">
        <f>(S105/2*(1-$L$79)*(1-$L$80)*S105/(S105-S104)+(S106+S107)/2*(1-$L$79)*S105/(S105-S104)*$L$80+S105*$L$79*(1-$L$80)+S107*$L$79*$L$80)*S103</f>
        <v>84.7624052538857</v>
      </c>
    </row>
    <row r="109" spans="2:19">
      <c r="B109">
        <v>100</v>
      </c>
      <c r="D109" t="s">
        <v>259</v>
      </c>
      <c r="E109" t="s">
        <v>260</v>
      </c>
      <c r="K109" t="s">
        <v>383</v>
      </c>
      <c r="L109">
        <f>SUM(L84,L90,L96,L102,L108)</f>
        <v>147.553334655148</v>
      </c>
      <c r="M109">
        <f>SUM(M84,M90,M96,M102,M108)</f>
        <v>132.976404611977</v>
      </c>
      <c r="N109">
        <f>SUM(N84,N90,N96,N102,N108)</f>
        <v>131.906234945858</v>
      </c>
      <c r="O109">
        <f>SUM(O84,O90,O96,O102,O108)</f>
        <v>128.651970942244</v>
      </c>
      <c r="P109">
        <f>SUM(P84,P90,P96,P102,P108)</f>
        <v>138.328135906851</v>
      </c>
      <c r="Q109">
        <f>SUM(Q84,Q90,Q96,Q102,Q108)</f>
        <v>131.858486153842</v>
      </c>
      <c r="R109">
        <f>SUM(R84,R90,R96,R102,R108)</f>
        <v>166.855798982021</v>
      </c>
      <c r="S109">
        <f>SUM(S84,S90,S96,S102,S108)</f>
        <v>253.912930111923</v>
      </c>
    </row>
    <row r="110" spans="4:19">
      <c r="D110" t="s">
        <v>264</v>
      </c>
      <c r="E110" s="106" t="s">
        <v>309</v>
      </c>
      <c r="K110" t="s">
        <v>384</v>
      </c>
      <c r="L110" s="13">
        <f>L109*L77-150</f>
        <v>14.7678903649155</v>
      </c>
      <c r="M110" s="13">
        <f>M109*M77-150</f>
        <v>5.13913871397381</v>
      </c>
      <c r="N110" s="13">
        <f>N109*N77-150</f>
        <v>10.4859191841282</v>
      </c>
      <c r="O110" s="13">
        <f>O109*O77-150</f>
        <v>19.3917617406221</v>
      </c>
      <c r="P110" s="13">
        <f>P109*P77-150</f>
        <v>18.2992320200028</v>
      </c>
      <c r="Q110" s="13">
        <f>Q109*Q77-150</f>
        <v>23.6136734358921</v>
      </c>
      <c r="R110" s="13">
        <f>R109*R77-150</f>
        <v>36.3223088632572</v>
      </c>
      <c r="S110" s="13">
        <f>S109*S77-150</f>
        <v>146.231751797245</v>
      </c>
    </row>
    <row r="111" spans="11:19">
      <c r="K111" t="s">
        <v>385</v>
      </c>
      <c r="L111" s="13">
        <f>12000/L110*L77</f>
        <v>907.374016794899</v>
      </c>
      <c r="M111" s="13">
        <f t="shared" ref="M111:R111" si="14">12000/M110*M77</f>
        <v>2724.19188879504</v>
      </c>
      <c r="N111" s="13">
        <f t="shared" si="14"/>
        <v>1392.34336481432</v>
      </c>
      <c r="O111" s="13">
        <f t="shared" si="14"/>
        <v>814.778987661654</v>
      </c>
      <c r="P111" s="13">
        <f t="shared" si="14"/>
        <v>797.847690222235</v>
      </c>
      <c r="Q111" s="13">
        <f t="shared" si="14"/>
        <v>669.103858105553</v>
      </c>
      <c r="R111" s="13">
        <f t="shared" si="14"/>
        <v>368.919279070257</v>
      </c>
      <c r="S111" s="13">
        <f>12000/S110*S77</f>
        <v>95.7384413982232</v>
      </c>
    </row>
    <row r="112" spans="1:19">
      <c r="A112" t="s">
        <v>273</v>
      </c>
      <c r="B112" t="s">
        <v>255</v>
      </c>
      <c r="D112" t="s">
        <v>176</v>
      </c>
      <c r="E112" t="s">
        <v>256</v>
      </c>
      <c r="K112" t="s">
        <v>386</v>
      </c>
      <c r="L112" s="13">
        <f>L111/L77</f>
        <v>812.573746383489</v>
      </c>
      <c r="M112" s="13">
        <f>M111/M77</f>
        <v>2335.02161896717</v>
      </c>
      <c r="N112" s="13">
        <f>N111/N77</f>
        <v>1144.3918066967</v>
      </c>
      <c r="O112" s="13">
        <f>O111/O77</f>
        <v>618.819484299989</v>
      </c>
      <c r="P112" s="13">
        <f>P111/P77</f>
        <v>655.765224840192</v>
      </c>
      <c r="Q112" s="13">
        <f>Q111/Q77</f>
        <v>508.180145396621</v>
      </c>
      <c r="R112" s="13">
        <f>R111/R77</f>
        <v>330.375473794259</v>
      </c>
      <c r="S112" s="13">
        <f>S111/S77</f>
        <v>82.0615211984768</v>
      </c>
    </row>
    <row r="113" spans="2:5">
      <c r="B113">
        <v>200</v>
      </c>
      <c r="D113" t="s">
        <v>259</v>
      </c>
      <c r="E113" t="s">
        <v>278</v>
      </c>
    </row>
    <row r="114" spans="4:5">
      <c r="D114" t="s">
        <v>264</v>
      </c>
      <c r="E114" t="s">
        <v>310</v>
      </c>
    </row>
    <row r="115" spans="12:18">
      <c r="L115" s="7" t="s">
        <v>387</v>
      </c>
      <c r="M115" s="7"/>
      <c r="N115" s="7"/>
      <c r="O115" s="7"/>
      <c r="P115" s="7"/>
      <c r="Q115" s="7"/>
      <c r="R115" s="7"/>
    </row>
    <row r="116" spans="1:18">
      <c r="A116" t="s">
        <v>301</v>
      </c>
      <c r="B116" t="s">
        <v>255</v>
      </c>
      <c r="D116" t="s">
        <v>176</v>
      </c>
      <c r="E116" t="s">
        <v>256</v>
      </c>
      <c r="G116" s="86" t="s">
        <v>388</v>
      </c>
      <c r="L116" s="7"/>
      <c r="M116" s="7"/>
      <c r="N116" s="7"/>
      <c r="O116" s="7"/>
      <c r="P116" s="7"/>
      <c r="Q116" s="7"/>
      <c r="R116" s="7"/>
    </row>
    <row r="117" spans="2:18">
      <c r="B117" t="s">
        <v>223</v>
      </c>
      <c r="D117" t="s">
        <v>259</v>
      </c>
      <c r="E117" t="s">
        <v>303</v>
      </c>
      <c r="G117" s="87"/>
      <c r="L117" s="7"/>
      <c r="M117" s="7"/>
      <c r="N117" s="7"/>
      <c r="O117" s="7"/>
      <c r="P117" s="7"/>
      <c r="Q117" s="7"/>
      <c r="R117" s="7"/>
    </row>
    <row r="118" spans="4:18">
      <c r="D118" t="s">
        <v>264</v>
      </c>
      <c r="E118" s="14" t="s">
        <v>389</v>
      </c>
      <c r="F118" s="2" t="s">
        <v>390</v>
      </c>
      <c r="G118" s="87"/>
      <c r="L118" s="7"/>
      <c r="M118" s="7"/>
      <c r="N118" s="7"/>
      <c r="O118" s="7"/>
      <c r="P118" s="7"/>
      <c r="Q118" s="7"/>
      <c r="R118" s="7"/>
    </row>
    <row r="119" spans="12:18">
      <c r="L119" s="7"/>
      <c r="M119" s="7"/>
      <c r="N119" s="7"/>
      <c r="O119" s="7"/>
      <c r="P119" s="7"/>
      <c r="Q119" s="7"/>
      <c r="R119" s="7"/>
    </row>
    <row r="120" spans="1:8">
      <c r="A120" s="87" t="s">
        <v>391</v>
      </c>
      <c r="B120" s="87"/>
      <c r="C120" s="87"/>
      <c r="D120" s="87"/>
      <c r="E120" s="87"/>
      <c r="F120" s="87"/>
      <c r="G120" s="87"/>
      <c r="H120" s="87"/>
    </row>
    <row r="121" spans="1:8">
      <c r="A121" s="87"/>
      <c r="B121" s="87"/>
      <c r="C121" s="87"/>
      <c r="D121" s="87"/>
      <c r="E121" s="87"/>
      <c r="F121" s="87"/>
      <c r="G121" s="87"/>
      <c r="H121" s="87"/>
    </row>
    <row r="122" spans="1:8">
      <c r="A122" s="87"/>
      <c r="B122" s="87"/>
      <c r="C122" s="87"/>
      <c r="D122" s="87"/>
      <c r="E122" s="87"/>
      <c r="F122" s="87"/>
      <c r="G122" s="87"/>
      <c r="H122" s="87"/>
    </row>
    <row r="123" spans="1:8">
      <c r="A123" s="87"/>
      <c r="B123" s="87"/>
      <c r="C123" s="87"/>
      <c r="D123" s="87"/>
      <c r="E123" s="87"/>
      <c r="F123" s="87"/>
      <c r="G123" s="87"/>
      <c r="H123" s="87"/>
    </row>
    <row r="124" spans="1:8">
      <c r="A124" s="87"/>
      <c r="B124" s="87"/>
      <c r="C124" s="87"/>
      <c r="D124" s="87"/>
      <c r="E124" s="87"/>
      <c r="F124" s="87"/>
      <c r="G124" s="87"/>
      <c r="H124" s="87"/>
    </row>
    <row r="125" spans="1:8">
      <c r="A125" s="87"/>
      <c r="B125" s="87"/>
      <c r="C125" s="87"/>
      <c r="D125" s="87"/>
      <c r="E125" s="87"/>
      <c r="F125" s="87"/>
      <c r="G125" s="87"/>
      <c r="H125" s="87"/>
    </row>
    <row r="126" spans="1:8">
      <c r="A126" s="87"/>
      <c r="B126" s="87"/>
      <c r="C126" s="87"/>
      <c r="D126" s="87"/>
      <c r="E126" s="87"/>
      <c r="F126" s="87"/>
      <c r="G126" s="87"/>
      <c r="H126" s="87"/>
    </row>
    <row r="132" spans="1:9">
      <c r="A132" s="87" t="s">
        <v>392</v>
      </c>
      <c r="B132" s="87"/>
      <c r="C132" s="87"/>
      <c r="D132" s="87"/>
      <c r="E132" s="87"/>
      <c r="F132" s="87"/>
      <c r="G132" s="87"/>
      <c r="H132" s="87"/>
      <c r="I132" s="87"/>
    </row>
    <row r="133" spans="4:5">
      <c r="D133" t="s">
        <v>393</v>
      </c>
      <c r="E133" t="s">
        <v>394</v>
      </c>
    </row>
    <row r="134" spans="4:5">
      <c r="D134" t="s">
        <v>382</v>
      </c>
      <c r="E134" s="2" t="s">
        <v>395</v>
      </c>
    </row>
    <row r="135" spans="4:5">
      <c r="D135" t="s">
        <v>349</v>
      </c>
      <c r="E135">
        <v>7</v>
      </c>
    </row>
    <row r="136" spans="4:5">
      <c r="D136" t="s">
        <v>396</v>
      </c>
      <c r="E136" t="s">
        <v>397</v>
      </c>
    </row>
    <row r="140" spans="1:9">
      <c r="A140" s="87" t="s">
        <v>398</v>
      </c>
      <c r="B140" s="87"/>
      <c r="C140" s="87"/>
      <c r="D140" s="87"/>
      <c r="E140" s="87"/>
      <c r="F140" s="87"/>
      <c r="G140" s="87"/>
      <c r="H140" s="87"/>
      <c r="I140" s="87"/>
    </row>
    <row r="141" spans="4:6">
      <c r="D141" t="s">
        <v>393</v>
      </c>
      <c r="E141" t="s">
        <v>394</v>
      </c>
      <c r="F141" t="s">
        <v>399</v>
      </c>
    </row>
    <row r="142" spans="4:6">
      <c r="D142" t="s">
        <v>382</v>
      </c>
      <c r="E142" t="s">
        <v>365</v>
      </c>
      <c r="F142" t="s">
        <v>365</v>
      </c>
    </row>
    <row r="143" spans="4:6">
      <c r="D143" t="s">
        <v>349</v>
      </c>
      <c r="E143" t="s">
        <v>365</v>
      </c>
      <c r="F143" t="s">
        <v>365</v>
      </c>
    </row>
    <row r="144" spans="4:6">
      <c r="D144" t="s">
        <v>396</v>
      </c>
      <c r="E144" t="s">
        <v>397</v>
      </c>
      <c r="F144" t="s">
        <v>400</v>
      </c>
    </row>
    <row r="145" spans="4:6">
      <c r="D145" t="s">
        <v>401</v>
      </c>
      <c r="E145" t="s">
        <v>365</v>
      </c>
      <c r="F145" t="s">
        <v>402</v>
      </c>
    </row>
    <row r="146" spans="4:6">
      <c r="D146" t="s">
        <v>403</v>
      </c>
      <c r="E146" t="s">
        <v>365</v>
      </c>
      <c r="F146" t="s">
        <v>402</v>
      </c>
    </row>
    <row r="149" spans="1:8">
      <c r="A149" s="7" t="s">
        <v>404</v>
      </c>
      <c r="B149" s="7"/>
      <c r="C149" s="7"/>
      <c r="D149" s="7"/>
      <c r="E149" s="7"/>
      <c r="F149" s="7"/>
      <c r="G149" s="7"/>
      <c r="H149" s="7"/>
    </row>
    <row r="150" spans="1:8">
      <c r="A150" s="7"/>
      <c r="B150" s="7"/>
      <c r="C150" s="7"/>
      <c r="D150" s="7"/>
      <c r="E150" s="7"/>
      <c r="F150" s="7"/>
      <c r="G150" s="7"/>
      <c r="H150" s="7"/>
    </row>
    <row r="151" spans="1:8">
      <c r="A151" s="7"/>
      <c r="B151" s="7"/>
      <c r="C151" s="7"/>
      <c r="D151" s="7"/>
      <c r="E151" s="7"/>
      <c r="F151" s="7"/>
      <c r="G151" s="7"/>
      <c r="H151" s="7"/>
    </row>
    <row r="152" spans="1:8">
      <c r="A152" s="7"/>
      <c r="B152" s="7"/>
      <c r="C152" s="7"/>
      <c r="D152" s="7"/>
      <c r="E152" s="7"/>
      <c r="F152" s="7"/>
      <c r="G152" s="7"/>
      <c r="H152" s="7"/>
    </row>
    <row r="153" spans="1:8">
      <c r="A153" s="7"/>
      <c r="B153" s="7"/>
      <c r="C153" s="7"/>
      <c r="D153" s="7"/>
      <c r="E153" s="7"/>
      <c r="F153" s="7"/>
      <c r="G153" s="7"/>
      <c r="H153" s="7"/>
    </row>
    <row r="154" spans="1:8">
      <c r="A154" s="7"/>
      <c r="B154" s="7"/>
      <c r="C154" s="7"/>
      <c r="D154" s="7"/>
      <c r="E154" s="7"/>
      <c r="F154" s="7"/>
      <c r="G154" s="7"/>
      <c r="H154" s="7"/>
    </row>
    <row r="155" spans="1:8">
      <c r="A155" s="7"/>
      <c r="B155" s="7"/>
      <c r="C155" s="7"/>
      <c r="D155" s="7"/>
      <c r="E155" s="7"/>
      <c r="F155" s="7"/>
      <c r="G155" s="7"/>
      <c r="H155" s="7"/>
    </row>
    <row r="157" spans="1:9">
      <c r="A157" s="87" t="s">
        <v>405</v>
      </c>
      <c r="B157" s="87"/>
      <c r="C157" s="87"/>
      <c r="D157" s="87"/>
      <c r="E157" s="87"/>
      <c r="F157" s="87"/>
      <c r="G157" s="87"/>
      <c r="H157" s="87"/>
      <c r="I157" s="87"/>
    </row>
    <row r="158" spans="4:6">
      <c r="D158" t="s">
        <v>393</v>
      </c>
      <c r="E158" t="s">
        <v>394</v>
      </c>
      <c r="F158" t="s">
        <v>406</v>
      </c>
    </row>
    <row r="159" spans="4:6">
      <c r="D159" t="s">
        <v>382</v>
      </c>
      <c r="E159" t="s">
        <v>365</v>
      </c>
      <c r="F159" t="s">
        <v>365</v>
      </c>
    </row>
    <row r="160" spans="4:6">
      <c r="D160" t="s">
        <v>349</v>
      </c>
      <c r="E160" t="s">
        <v>365</v>
      </c>
      <c r="F160">
        <v>27</v>
      </c>
    </row>
    <row r="161" spans="4:6">
      <c r="D161" t="s">
        <v>396</v>
      </c>
      <c r="E161" t="s">
        <v>397</v>
      </c>
      <c r="F161" t="s">
        <v>407</v>
      </c>
    </row>
    <row r="162" spans="4:6">
      <c r="D162" t="s">
        <v>401</v>
      </c>
      <c r="E162" t="s">
        <v>365</v>
      </c>
      <c r="F162">
        <v>204</v>
      </c>
    </row>
    <row r="163" spans="4:6">
      <c r="D163" t="s">
        <v>403</v>
      </c>
      <c r="E163" t="s">
        <v>365</v>
      </c>
      <c r="F163">
        <v>204</v>
      </c>
    </row>
    <row r="167" spans="1:9">
      <c r="A167" s="87" t="s">
        <v>408</v>
      </c>
      <c r="B167" s="87"/>
      <c r="C167" s="87"/>
      <c r="D167" s="87"/>
      <c r="E167" s="87"/>
      <c r="F167" s="87"/>
      <c r="G167" s="87"/>
      <c r="H167" s="87"/>
      <c r="I167" s="87"/>
    </row>
    <row r="168" spans="2:7">
      <c r="B168" t="s">
        <v>393</v>
      </c>
      <c r="C168" t="s">
        <v>394</v>
      </c>
      <c r="D168" t="s">
        <v>399</v>
      </c>
      <c r="E168" t="s">
        <v>406</v>
      </c>
      <c r="F168" t="s">
        <v>409</v>
      </c>
      <c r="G168" t="s">
        <v>410</v>
      </c>
    </row>
    <row r="169" spans="2:7">
      <c r="B169" t="s">
        <v>382</v>
      </c>
      <c r="C169" t="s">
        <v>365</v>
      </c>
      <c r="D169" t="s">
        <v>365</v>
      </c>
      <c r="E169" t="s">
        <v>365</v>
      </c>
      <c r="F169" t="s">
        <v>365</v>
      </c>
      <c r="G169" t="s">
        <v>365</v>
      </c>
    </row>
    <row r="170" spans="2:7">
      <c r="B170" t="s">
        <v>349</v>
      </c>
      <c r="C170" t="s">
        <v>365</v>
      </c>
      <c r="D170" t="s">
        <v>365</v>
      </c>
      <c r="E170" t="s">
        <v>365</v>
      </c>
      <c r="F170" t="s">
        <v>365</v>
      </c>
      <c r="G170">
        <v>17</v>
      </c>
    </row>
    <row r="171" spans="2:7">
      <c r="B171" t="s">
        <v>396</v>
      </c>
      <c r="C171" t="s">
        <v>365</v>
      </c>
      <c r="D171" t="s">
        <v>365</v>
      </c>
      <c r="E171" t="s">
        <v>411</v>
      </c>
      <c r="F171" t="s">
        <v>412</v>
      </c>
      <c r="G171">
        <v>296</v>
      </c>
    </row>
    <row r="172" spans="2:7">
      <c r="B172" t="s">
        <v>401</v>
      </c>
      <c r="C172" t="s">
        <v>365</v>
      </c>
      <c r="D172" t="s">
        <v>365</v>
      </c>
      <c r="E172" t="s">
        <v>413</v>
      </c>
      <c r="G172" t="s">
        <v>414</v>
      </c>
    </row>
    <row r="173" spans="2:7">
      <c r="B173" t="s">
        <v>403</v>
      </c>
      <c r="C173" t="s">
        <v>365</v>
      </c>
      <c r="D173" t="s">
        <v>365</v>
      </c>
      <c r="E173" t="s">
        <v>415</v>
      </c>
      <c r="G173" t="s">
        <v>416</v>
      </c>
    </row>
    <row r="175" spans="1:8">
      <c r="A175" s="7" t="s">
        <v>417</v>
      </c>
      <c r="B175" s="7"/>
      <c r="C175" s="7"/>
      <c r="D175" s="7"/>
      <c r="E175" s="7"/>
      <c r="F175" s="7"/>
      <c r="G175" s="7"/>
      <c r="H175" s="7"/>
    </row>
    <row r="176" spans="1:8">
      <c r="A176" s="7"/>
      <c r="B176" s="7"/>
      <c r="C176" s="7"/>
      <c r="D176" s="7"/>
      <c r="E176" s="7"/>
      <c r="F176" s="7"/>
      <c r="G176" s="7"/>
      <c r="H176" s="7"/>
    </row>
    <row r="177" spans="1:8">
      <c r="A177" s="7"/>
      <c r="B177" s="7"/>
      <c r="C177" s="7"/>
      <c r="D177" s="7"/>
      <c r="E177" s="7"/>
      <c r="F177" s="7"/>
      <c r="G177" s="7"/>
      <c r="H177" s="7"/>
    </row>
    <row r="178" spans="1:8">
      <c r="A178" s="7"/>
      <c r="B178" s="7"/>
      <c r="C178" s="7"/>
      <c r="D178" s="7"/>
      <c r="E178" s="7"/>
      <c r="F178" s="7"/>
      <c r="G178" s="7"/>
      <c r="H178" s="7"/>
    </row>
    <row r="179" spans="1:8">
      <c r="A179" s="7"/>
      <c r="B179" s="7"/>
      <c r="C179" s="7"/>
      <c r="D179" s="7"/>
      <c r="E179" s="7"/>
      <c r="F179" s="7"/>
      <c r="G179" s="7"/>
      <c r="H179" s="7"/>
    </row>
    <row r="180" spans="1:8">
      <c r="A180" s="7"/>
      <c r="B180" s="7"/>
      <c r="C180" s="7"/>
      <c r="D180" s="7"/>
      <c r="E180" s="7"/>
      <c r="F180" s="7"/>
      <c r="G180" s="7"/>
      <c r="H180" s="7"/>
    </row>
    <row r="181" spans="1:8">
      <c r="A181" s="7"/>
      <c r="B181" s="7"/>
      <c r="C181" s="7"/>
      <c r="D181" s="7"/>
      <c r="E181" s="7"/>
      <c r="F181" s="7"/>
      <c r="G181" s="7"/>
      <c r="H181" s="7"/>
    </row>
  </sheetData>
  <mergeCells count="50">
    <mergeCell ref="A1:J1"/>
    <mergeCell ref="M5:N5"/>
    <mergeCell ref="O5:P5"/>
    <mergeCell ref="K11:L11"/>
    <mergeCell ref="O11:R11"/>
    <mergeCell ref="S11:V11"/>
    <mergeCell ref="K16:L16"/>
    <mergeCell ref="O16:R16"/>
    <mergeCell ref="S16:V16"/>
    <mergeCell ref="K21:L21"/>
    <mergeCell ref="O21:R21"/>
    <mergeCell ref="S21:V21"/>
    <mergeCell ref="K26:L26"/>
    <mergeCell ref="O26:R26"/>
    <mergeCell ref="S26:V26"/>
    <mergeCell ref="A31:I31"/>
    <mergeCell ref="A42:I42"/>
    <mergeCell ref="K44:M44"/>
    <mergeCell ref="A55:I55"/>
    <mergeCell ref="M64:T64"/>
    <mergeCell ref="M65:T65"/>
    <mergeCell ref="M66:T66"/>
    <mergeCell ref="M67:T67"/>
    <mergeCell ref="M68:T68"/>
    <mergeCell ref="M69:T69"/>
    <mergeCell ref="M70:T70"/>
    <mergeCell ref="A79:I79"/>
    <mergeCell ref="A93:I93"/>
    <mergeCell ref="A107:I107"/>
    <mergeCell ref="A132:I132"/>
    <mergeCell ref="A140:I140"/>
    <mergeCell ref="A157:I157"/>
    <mergeCell ref="A167:I167"/>
    <mergeCell ref="G22:G24"/>
    <mergeCell ref="G66:G68"/>
    <mergeCell ref="G88:G90"/>
    <mergeCell ref="G102:G104"/>
    <mergeCell ref="G116:G118"/>
    <mergeCell ref="A26:I29"/>
    <mergeCell ref="K32:P38"/>
    <mergeCell ref="K42:S43"/>
    <mergeCell ref="K3:S4"/>
    <mergeCell ref="K61:S62"/>
    <mergeCell ref="Q33:R35"/>
    <mergeCell ref="K55:R60"/>
    <mergeCell ref="A69:H76"/>
    <mergeCell ref="L115:R119"/>
    <mergeCell ref="A149:H155"/>
    <mergeCell ref="A175:H181"/>
    <mergeCell ref="A120:H126"/>
  </mergeCell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8"/>
  <sheetViews>
    <sheetView tabSelected="1" zoomScale="80" zoomScaleNormal="80" topLeftCell="A64" workbookViewId="0">
      <selection activeCell="O90" sqref="O90"/>
    </sheetView>
  </sheetViews>
  <sheetFormatPr defaultColWidth="9" defaultRowHeight="13.5"/>
  <cols>
    <col min="1" max="1" width="18.6666666666667" customWidth="1"/>
    <col min="4" max="4" width="12.5" customWidth="1"/>
    <col min="5" max="5" width="23.625" customWidth="1"/>
    <col min="9" max="9" width="15" customWidth="1"/>
    <col min="14" max="14" width="14.125" customWidth="1"/>
    <col min="15" max="15" width="43.375" customWidth="1"/>
    <col min="16" max="16" width="28.75" customWidth="1"/>
    <col min="17" max="17" width="4.625" customWidth="1"/>
    <col min="18" max="18" width="26.625" customWidth="1"/>
  </cols>
  <sheetData>
    <row r="1" ht="15" spans="1:18">
      <c r="A1" s="51" t="s">
        <v>418</v>
      </c>
      <c r="B1" s="52"/>
      <c r="E1" s="51" t="s">
        <v>419</v>
      </c>
      <c r="F1" s="52"/>
      <c r="I1" s="51" t="s">
        <v>420</v>
      </c>
      <c r="J1" s="52"/>
      <c r="O1" s="60" t="s">
        <v>421</v>
      </c>
      <c r="P1" s="61" t="s">
        <v>422</v>
      </c>
      <c r="Q1" s="73" t="s">
        <v>423</v>
      </c>
      <c r="R1" s="74" t="s">
        <v>424</v>
      </c>
    </row>
    <row r="2" ht="15.75" customHeight="1" spans="2:18">
      <c r="B2" t="s">
        <v>425</v>
      </c>
      <c r="C2" t="s">
        <v>426</v>
      </c>
      <c r="D2" t="s">
        <v>427</v>
      </c>
      <c r="F2" t="s">
        <v>425</v>
      </c>
      <c r="G2" t="s">
        <v>426</v>
      </c>
      <c r="H2" t="s">
        <v>427</v>
      </c>
      <c r="J2" t="s">
        <v>425</v>
      </c>
      <c r="K2" t="s">
        <v>428</v>
      </c>
      <c r="L2" t="s">
        <v>426</v>
      </c>
      <c r="M2" t="s">
        <v>427</v>
      </c>
      <c r="O2" s="62" t="s">
        <v>429</v>
      </c>
      <c r="P2" s="63" t="s">
        <v>430</v>
      </c>
      <c r="Q2" s="75" t="s">
        <v>418</v>
      </c>
      <c r="R2" s="76" t="s">
        <v>431</v>
      </c>
    </row>
    <row r="3" ht="15" spans="1:18">
      <c r="A3" s="15" t="s">
        <v>432</v>
      </c>
      <c r="B3" t="s">
        <v>433</v>
      </c>
      <c r="C3" s="2" t="s">
        <v>434</v>
      </c>
      <c r="D3" s="2">
        <v>4</v>
      </c>
      <c r="E3" s="15" t="s">
        <v>435</v>
      </c>
      <c r="F3" t="s">
        <v>436</v>
      </c>
      <c r="G3" s="2" t="s">
        <v>30</v>
      </c>
      <c r="H3" s="2" t="s">
        <v>34</v>
      </c>
      <c r="I3" s="55" t="s">
        <v>437</v>
      </c>
      <c r="J3" s="2" t="s">
        <v>438</v>
      </c>
      <c r="K3" s="2" t="s">
        <v>30</v>
      </c>
      <c r="L3" s="2" t="s">
        <v>439</v>
      </c>
      <c r="M3" s="2" t="s">
        <v>440</v>
      </c>
      <c r="N3" s="2"/>
      <c r="O3" s="62" t="s">
        <v>441</v>
      </c>
      <c r="P3" s="64" t="s">
        <v>442</v>
      </c>
      <c r="Q3" s="75"/>
      <c r="R3" s="76" t="s">
        <v>443</v>
      </c>
    </row>
    <row r="4" ht="15" spans="1:18">
      <c r="A4" s="15"/>
      <c r="B4" t="s">
        <v>444</v>
      </c>
      <c r="C4" s="2" t="s">
        <v>445</v>
      </c>
      <c r="D4" s="2" t="s">
        <v>446</v>
      </c>
      <c r="E4" s="15"/>
      <c r="F4" t="s">
        <v>447</v>
      </c>
      <c r="G4" s="2">
        <v>2</v>
      </c>
      <c r="H4" s="2" t="s">
        <v>36</v>
      </c>
      <c r="I4" s="55"/>
      <c r="J4" s="2" t="s">
        <v>448</v>
      </c>
      <c r="K4" s="2" t="s">
        <v>32</v>
      </c>
      <c r="L4" s="2" t="s">
        <v>440</v>
      </c>
      <c r="M4" s="2" t="s">
        <v>449</v>
      </c>
      <c r="N4" s="2"/>
      <c r="O4" s="62"/>
      <c r="P4" s="64" t="s">
        <v>450</v>
      </c>
      <c r="Q4" s="75"/>
      <c r="R4" s="76" t="s">
        <v>451</v>
      </c>
    </row>
    <row r="5" ht="15" spans="1:18">
      <c r="A5" s="15"/>
      <c r="B5" t="s">
        <v>452</v>
      </c>
      <c r="C5" s="2" t="s">
        <v>446</v>
      </c>
      <c r="D5" s="2" t="s">
        <v>61</v>
      </c>
      <c r="E5" s="15" t="s">
        <v>453</v>
      </c>
      <c r="F5" t="s">
        <v>454</v>
      </c>
      <c r="G5" s="2">
        <v>10</v>
      </c>
      <c r="H5" s="2">
        <v>25</v>
      </c>
      <c r="I5" s="55"/>
      <c r="J5" t="s">
        <v>455</v>
      </c>
      <c r="K5" s="24">
        <v>3</v>
      </c>
      <c r="L5" s="2" t="s">
        <v>456</v>
      </c>
      <c r="M5" s="2" t="s">
        <v>457</v>
      </c>
      <c r="O5" s="62"/>
      <c r="P5" s="63" t="s">
        <v>458</v>
      </c>
      <c r="Q5" s="75"/>
      <c r="R5" s="76" t="s">
        <v>459</v>
      </c>
    </row>
    <row r="6" ht="15" spans="1:18">
      <c r="A6" s="15"/>
      <c r="B6" t="s">
        <v>460</v>
      </c>
      <c r="C6" s="2" t="s">
        <v>461</v>
      </c>
      <c r="D6" s="2" t="s">
        <v>462</v>
      </c>
      <c r="E6" s="15"/>
      <c r="F6" t="s">
        <v>463</v>
      </c>
      <c r="G6" s="2" t="s">
        <v>464</v>
      </c>
      <c r="H6" s="2" t="s">
        <v>465</v>
      </c>
      <c r="I6" s="55" t="s">
        <v>466</v>
      </c>
      <c r="J6" t="s">
        <v>467</v>
      </c>
      <c r="K6" s="2" t="s">
        <v>30</v>
      </c>
      <c r="L6" s="2" t="s">
        <v>439</v>
      </c>
      <c r="M6" s="2" t="s">
        <v>440</v>
      </c>
      <c r="O6" s="62" t="s">
        <v>468</v>
      </c>
      <c r="P6" s="63" t="s">
        <v>469</v>
      </c>
      <c r="Q6" s="75"/>
      <c r="R6" s="76" t="s">
        <v>470</v>
      </c>
    </row>
    <row r="7" ht="15" spans="1:18">
      <c r="A7" s="15"/>
      <c r="B7" t="s">
        <v>471</v>
      </c>
      <c r="C7" s="2" t="s">
        <v>472</v>
      </c>
      <c r="D7" s="2" t="s">
        <v>473</v>
      </c>
      <c r="E7" s="15"/>
      <c r="F7" t="s">
        <v>474</v>
      </c>
      <c r="G7" s="2" t="s">
        <v>475</v>
      </c>
      <c r="H7" s="2">
        <v>40</v>
      </c>
      <c r="I7" s="55"/>
      <c r="J7" t="s">
        <v>476</v>
      </c>
      <c r="K7" s="2" t="s">
        <v>32</v>
      </c>
      <c r="L7" s="2" t="s">
        <v>440</v>
      </c>
      <c r="M7" s="2" t="s">
        <v>449</v>
      </c>
      <c r="O7" s="62" t="s">
        <v>477</v>
      </c>
      <c r="P7" s="64" t="s">
        <v>478</v>
      </c>
      <c r="Q7" s="77"/>
      <c r="R7" s="78" t="s">
        <v>479</v>
      </c>
    </row>
    <row r="8" ht="15.75" customHeight="1" spans="1:19">
      <c r="A8" s="15"/>
      <c r="B8" t="s">
        <v>480</v>
      </c>
      <c r="C8" s="2" t="s">
        <v>481</v>
      </c>
      <c r="D8" s="2" t="s">
        <v>482</v>
      </c>
      <c r="E8" s="15" t="s">
        <v>483</v>
      </c>
      <c r="F8" s="2" t="s">
        <v>484</v>
      </c>
      <c r="G8" s="2" t="s">
        <v>485</v>
      </c>
      <c r="H8" s="2" t="s">
        <v>445</v>
      </c>
      <c r="I8" s="55"/>
      <c r="J8" s="2" t="s">
        <v>486</v>
      </c>
      <c r="K8" s="24">
        <v>3</v>
      </c>
      <c r="L8" s="2" t="s">
        <v>456</v>
      </c>
      <c r="M8" s="2" t="s">
        <v>457</v>
      </c>
      <c r="N8" s="2"/>
      <c r="O8" s="62"/>
      <c r="P8" s="64" t="s">
        <v>487</v>
      </c>
      <c r="Q8" s="77" t="s">
        <v>488</v>
      </c>
      <c r="R8" s="76" t="s">
        <v>489</v>
      </c>
      <c r="S8" s="2"/>
    </row>
    <row r="9" ht="15" spans="1:18">
      <c r="A9" s="15"/>
      <c r="B9" t="s">
        <v>490</v>
      </c>
      <c r="C9" s="2" t="s">
        <v>491</v>
      </c>
      <c r="D9" s="2" t="s">
        <v>492</v>
      </c>
      <c r="E9" s="15"/>
      <c r="F9" s="2" t="s">
        <v>493</v>
      </c>
      <c r="G9" s="2" t="s">
        <v>434</v>
      </c>
      <c r="H9" s="2" t="s">
        <v>494</v>
      </c>
      <c r="I9" s="55" t="s">
        <v>495</v>
      </c>
      <c r="J9" t="s">
        <v>496</v>
      </c>
      <c r="K9" s="2" t="s">
        <v>30</v>
      </c>
      <c r="L9" s="2" t="s">
        <v>439</v>
      </c>
      <c r="M9" s="2" t="s">
        <v>440</v>
      </c>
      <c r="O9" s="62"/>
      <c r="P9" s="64" t="s">
        <v>497</v>
      </c>
      <c r="Q9" s="77"/>
      <c r="R9" s="79" t="s">
        <v>498</v>
      </c>
    </row>
    <row r="10" ht="15" spans="1:18">
      <c r="A10" s="15"/>
      <c r="B10" t="s">
        <v>499</v>
      </c>
      <c r="C10" s="2" t="s">
        <v>491</v>
      </c>
      <c r="D10" s="2" t="s">
        <v>500</v>
      </c>
      <c r="E10" s="15"/>
      <c r="F10" s="53" t="s">
        <v>501</v>
      </c>
      <c r="G10" s="54" t="s">
        <v>494</v>
      </c>
      <c r="H10" s="54" t="s">
        <v>59</v>
      </c>
      <c r="I10" s="55"/>
      <c r="J10" t="s">
        <v>502</v>
      </c>
      <c r="K10" s="2" t="s">
        <v>32</v>
      </c>
      <c r="L10" s="2" t="s">
        <v>440</v>
      </c>
      <c r="M10" s="2" t="s">
        <v>449</v>
      </c>
      <c r="O10" s="62"/>
      <c r="P10" s="63" t="s">
        <v>503</v>
      </c>
      <c r="Q10" s="77"/>
      <c r="R10" s="79" t="s">
        <v>504</v>
      </c>
    </row>
    <row r="11" ht="15" spans="1:18">
      <c r="A11" s="15"/>
      <c r="B11" t="s">
        <v>505</v>
      </c>
      <c r="C11" s="2" t="s">
        <v>506</v>
      </c>
      <c r="D11" s="2" t="s">
        <v>507</v>
      </c>
      <c r="E11" s="15" t="s">
        <v>508</v>
      </c>
      <c r="F11" t="s">
        <v>509</v>
      </c>
      <c r="G11" s="2">
        <v>15</v>
      </c>
      <c r="H11" s="2">
        <v>30</v>
      </c>
      <c r="I11" s="55"/>
      <c r="J11" t="s">
        <v>510</v>
      </c>
      <c r="K11" s="24">
        <v>3</v>
      </c>
      <c r="L11" s="2" t="s">
        <v>456</v>
      </c>
      <c r="M11" s="2" t="s">
        <v>457</v>
      </c>
      <c r="O11" s="62" t="s">
        <v>511</v>
      </c>
      <c r="P11" s="63" t="s">
        <v>512</v>
      </c>
      <c r="Q11" s="77"/>
      <c r="R11" s="79" t="s">
        <v>513</v>
      </c>
    </row>
    <row r="12" ht="15" spans="1:18">
      <c r="A12" s="15" t="s">
        <v>514</v>
      </c>
      <c r="B12" t="s">
        <v>515</v>
      </c>
      <c r="C12" s="2" t="s">
        <v>485</v>
      </c>
      <c r="D12" s="2" t="s">
        <v>445</v>
      </c>
      <c r="E12" s="15"/>
      <c r="F12" t="s">
        <v>516</v>
      </c>
      <c r="G12" s="2" t="s">
        <v>517</v>
      </c>
      <c r="H12" s="2" t="s">
        <v>518</v>
      </c>
      <c r="I12" s="55" t="s">
        <v>519</v>
      </c>
      <c r="J12" t="s">
        <v>520</v>
      </c>
      <c r="K12" s="2" t="s">
        <v>30</v>
      </c>
      <c r="L12" s="2" t="s">
        <v>439</v>
      </c>
      <c r="M12" s="2" t="s">
        <v>440</v>
      </c>
      <c r="O12" s="62" t="s">
        <v>521</v>
      </c>
      <c r="P12" s="63" t="s">
        <v>522</v>
      </c>
      <c r="Q12" s="77"/>
      <c r="R12" s="76" t="s">
        <v>523</v>
      </c>
    </row>
    <row r="13" ht="15" spans="1:18">
      <c r="A13" s="15"/>
      <c r="B13" t="s">
        <v>524</v>
      </c>
      <c r="C13" s="2" t="s">
        <v>525</v>
      </c>
      <c r="D13" s="2" t="s">
        <v>526</v>
      </c>
      <c r="E13" s="15"/>
      <c r="F13" t="s">
        <v>527</v>
      </c>
      <c r="G13" s="2" t="s">
        <v>465</v>
      </c>
      <c r="H13" s="2">
        <v>50</v>
      </c>
      <c r="I13" s="55"/>
      <c r="J13" t="s">
        <v>528</v>
      </c>
      <c r="K13" s="2" t="s">
        <v>32</v>
      </c>
      <c r="L13" s="2" t="s">
        <v>440</v>
      </c>
      <c r="M13" s="2" t="s">
        <v>449</v>
      </c>
      <c r="O13" s="62" t="s">
        <v>529</v>
      </c>
      <c r="P13" s="64" t="s">
        <v>530</v>
      </c>
      <c r="Q13" s="77"/>
      <c r="R13" s="76" t="s">
        <v>531</v>
      </c>
    </row>
    <row r="14" ht="15" spans="1:18">
      <c r="A14" s="15" t="s">
        <v>532</v>
      </c>
      <c r="B14" t="s">
        <v>533</v>
      </c>
      <c r="C14" s="2" t="s">
        <v>36</v>
      </c>
      <c r="D14" s="2" t="s">
        <v>534</v>
      </c>
      <c r="I14" s="55"/>
      <c r="J14" t="s">
        <v>535</v>
      </c>
      <c r="K14" s="24">
        <v>3</v>
      </c>
      <c r="L14" s="2" t="s">
        <v>456</v>
      </c>
      <c r="M14" s="2" t="s">
        <v>457</v>
      </c>
      <c r="O14" s="62"/>
      <c r="P14" s="64" t="s">
        <v>536</v>
      </c>
      <c r="Q14" s="77"/>
      <c r="R14" s="79" t="s">
        <v>537</v>
      </c>
    </row>
    <row r="15" ht="15" spans="1:18">
      <c r="A15" s="15"/>
      <c r="B15" t="s">
        <v>538</v>
      </c>
      <c r="C15" s="55" t="s">
        <v>539</v>
      </c>
      <c r="D15" s="55"/>
      <c r="I15" s="55" t="s">
        <v>540</v>
      </c>
      <c r="J15" t="s">
        <v>541</v>
      </c>
      <c r="K15" s="2" t="s">
        <v>30</v>
      </c>
      <c r="L15" s="2" t="s">
        <v>439</v>
      </c>
      <c r="M15" s="2" t="s">
        <v>440</v>
      </c>
      <c r="N15" s="15" t="s">
        <v>542</v>
      </c>
      <c r="O15" s="62"/>
      <c r="P15" s="64" t="s">
        <v>543</v>
      </c>
      <c r="Q15" s="77"/>
      <c r="R15" s="79" t="s">
        <v>544</v>
      </c>
    </row>
    <row r="16" ht="15" spans="1:18">
      <c r="A16" s="15" t="s">
        <v>21</v>
      </c>
      <c r="B16" t="s">
        <v>545</v>
      </c>
      <c r="C16" s="15">
        <v>1</v>
      </c>
      <c r="D16" s="15"/>
      <c r="I16" s="55"/>
      <c r="J16" t="s">
        <v>546</v>
      </c>
      <c r="K16" s="2" t="s">
        <v>32</v>
      </c>
      <c r="L16" s="2" t="s">
        <v>440</v>
      </c>
      <c r="M16" s="2" t="s">
        <v>449</v>
      </c>
      <c r="N16" s="15"/>
      <c r="O16" s="62"/>
      <c r="P16" s="64" t="s">
        <v>547</v>
      </c>
      <c r="Q16" s="77"/>
      <c r="R16" s="80" t="s">
        <v>548</v>
      </c>
    </row>
    <row r="17" ht="15.75" customHeight="1" spans="1:18">
      <c r="A17" s="15"/>
      <c r="B17" t="s">
        <v>549</v>
      </c>
      <c r="C17" s="15">
        <v>2</v>
      </c>
      <c r="D17" s="15"/>
      <c r="I17" s="55"/>
      <c r="J17" t="s">
        <v>550</v>
      </c>
      <c r="K17" s="24">
        <v>3</v>
      </c>
      <c r="L17" s="2" t="s">
        <v>456</v>
      </c>
      <c r="M17" s="2" t="s">
        <v>457</v>
      </c>
      <c r="N17" s="15"/>
      <c r="O17" s="62"/>
      <c r="P17" s="64" t="s">
        <v>551</v>
      </c>
      <c r="Q17" s="77" t="s">
        <v>552</v>
      </c>
      <c r="R17" s="76" t="s">
        <v>553</v>
      </c>
    </row>
    <row r="18" ht="15" spans="1:18">
      <c r="A18" s="15"/>
      <c r="B18" t="s">
        <v>554</v>
      </c>
      <c r="C18" s="15">
        <v>3</v>
      </c>
      <c r="D18" s="15"/>
      <c r="I18" s="15" t="s">
        <v>555</v>
      </c>
      <c r="J18" t="s">
        <v>556</v>
      </c>
      <c r="L18" s="2" t="s">
        <v>30</v>
      </c>
      <c r="M18" s="2" t="s">
        <v>32</v>
      </c>
      <c r="O18" s="62"/>
      <c r="P18" s="64" t="s">
        <v>557</v>
      </c>
      <c r="Q18" s="77"/>
      <c r="R18" s="76" t="s">
        <v>558</v>
      </c>
    </row>
    <row r="19" ht="15" spans="9:18">
      <c r="I19" s="15"/>
      <c r="J19" t="s">
        <v>559</v>
      </c>
      <c r="L19" s="24">
        <v>2</v>
      </c>
      <c r="M19" s="24">
        <v>3</v>
      </c>
      <c r="O19" s="62"/>
      <c r="P19" s="64" t="s">
        <v>560</v>
      </c>
      <c r="Q19" s="77"/>
      <c r="R19" s="76" t="s">
        <v>561</v>
      </c>
    </row>
    <row r="20" ht="15" spans="1:18">
      <c r="A20" s="51" t="s">
        <v>488</v>
      </c>
      <c r="B20" s="52"/>
      <c r="E20" s="51" t="s">
        <v>552</v>
      </c>
      <c r="F20" s="52"/>
      <c r="I20" s="15"/>
      <c r="J20" t="s">
        <v>562</v>
      </c>
      <c r="L20" s="24">
        <v>4</v>
      </c>
      <c r="M20" s="2"/>
      <c r="O20" s="62"/>
      <c r="P20" s="64" t="s">
        <v>563</v>
      </c>
      <c r="Q20" s="77"/>
      <c r="R20" s="76" t="s">
        <v>564</v>
      </c>
    </row>
    <row r="21" ht="15" spans="1:18">
      <c r="A21" s="15" t="s">
        <v>483</v>
      </c>
      <c r="B21" s="2" t="s">
        <v>484</v>
      </c>
      <c r="C21" s="2" t="s">
        <v>395</v>
      </c>
      <c r="D21" s="2" t="s">
        <v>445</v>
      </c>
      <c r="E21" s="55" t="s">
        <v>565</v>
      </c>
      <c r="F21" s="2" t="s">
        <v>566</v>
      </c>
      <c r="G21" s="2" t="s">
        <v>30</v>
      </c>
      <c r="H21" s="2" t="s">
        <v>32</v>
      </c>
      <c r="L21" s="2"/>
      <c r="M21" s="2"/>
      <c r="O21" s="62"/>
      <c r="P21" s="64" t="s">
        <v>567</v>
      </c>
      <c r="Q21" s="77"/>
      <c r="R21" s="76" t="s">
        <v>568</v>
      </c>
    </row>
    <row r="22" ht="15" spans="1:18">
      <c r="A22" s="15"/>
      <c r="B22" s="2" t="s">
        <v>493</v>
      </c>
      <c r="C22" s="2" t="s">
        <v>569</v>
      </c>
      <c r="D22" s="2" t="s">
        <v>494</v>
      </c>
      <c r="E22" s="55"/>
      <c r="F22" s="2" t="s">
        <v>570</v>
      </c>
      <c r="G22" s="2" t="s">
        <v>32</v>
      </c>
      <c r="H22" s="2" t="s">
        <v>34</v>
      </c>
      <c r="I22" s="51" t="s">
        <v>571</v>
      </c>
      <c r="J22" s="52"/>
      <c r="K22" s="2"/>
      <c r="L22" s="2"/>
      <c r="M22" s="2"/>
      <c r="O22" s="62"/>
      <c r="P22" s="63" t="s">
        <v>572</v>
      </c>
      <c r="Q22" s="77"/>
      <c r="R22" s="80" t="s">
        <v>573</v>
      </c>
    </row>
    <row r="23" ht="15.75" customHeight="1" spans="1:18">
      <c r="A23" s="15"/>
      <c r="B23" t="s">
        <v>501</v>
      </c>
      <c r="C23" s="2" t="s">
        <v>494</v>
      </c>
      <c r="D23" s="2" t="s">
        <v>59</v>
      </c>
      <c r="E23" s="55"/>
      <c r="F23" s="2" t="s">
        <v>574</v>
      </c>
      <c r="G23" s="2" t="s">
        <v>34</v>
      </c>
      <c r="H23" s="2" t="s">
        <v>36</v>
      </c>
      <c r="I23" s="15" t="s">
        <v>565</v>
      </c>
      <c r="J23" t="s">
        <v>566</v>
      </c>
      <c r="K23" s="2"/>
      <c r="L23" s="2" t="s">
        <v>30</v>
      </c>
      <c r="M23" s="2" t="s">
        <v>32</v>
      </c>
      <c r="O23" s="62" t="s">
        <v>575</v>
      </c>
      <c r="P23" s="64" t="s">
        <v>576</v>
      </c>
      <c r="Q23" s="77" t="s">
        <v>420</v>
      </c>
      <c r="R23" s="76" t="s">
        <v>577</v>
      </c>
    </row>
    <row r="24" ht="15" spans="1:18">
      <c r="A24" s="15"/>
      <c r="B24" t="s">
        <v>578</v>
      </c>
      <c r="C24" s="2" t="s">
        <v>59</v>
      </c>
      <c r="D24" s="2" t="s">
        <v>60</v>
      </c>
      <c r="E24" s="55"/>
      <c r="F24" s="2" t="s">
        <v>579</v>
      </c>
      <c r="G24" s="54" t="s">
        <v>580</v>
      </c>
      <c r="H24" s="54" t="s">
        <v>472</v>
      </c>
      <c r="I24" s="15"/>
      <c r="J24" t="s">
        <v>570</v>
      </c>
      <c r="K24" s="2"/>
      <c r="L24" s="2" t="s">
        <v>32</v>
      </c>
      <c r="M24" s="2" t="s">
        <v>34</v>
      </c>
      <c r="O24" s="62"/>
      <c r="P24" s="63" t="s">
        <v>581</v>
      </c>
      <c r="Q24" s="77"/>
      <c r="R24" s="76" t="s">
        <v>582</v>
      </c>
    </row>
    <row r="25" ht="15" spans="1:18">
      <c r="A25" s="15"/>
      <c r="B25" s="56" t="s">
        <v>583</v>
      </c>
      <c r="C25" s="2" t="s">
        <v>580</v>
      </c>
      <c r="D25" s="2" t="s">
        <v>462</v>
      </c>
      <c r="E25" s="55"/>
      <c r="F25" s="2" t="s">
        <v>584</v>
      </c>
      <c r="G25" s="54" t="s">
        <v>42</v>
      </c>
      <c r="H25" s="54" t="s">
        <v>534</v>
      </c>
      <c r="I25" s="15"/>
      <c r="J25" t="s">
        <v>574</v>
      </c>
      <c r="K25" s="2"/>
      <c r="L25" s="2" t="s">
        <v>34</v>
      </c>
      <c r="M25" s="2" t="s">
        <v>36</v>
      </c>
      <c r="O25" s="62" t="s">
        <v>585</v>
      </c>
      <c r="P25" s="64" t="s">
        <v>586</v>
      </c>
      <c r="Q25" s="77"/>
      <c r="R25" s="76" t="s">
        <v>587</v>
      </c>
    </row>
    <row r="26" ht="15" spans="1:18">
      <c r="A26" s="15"/>
      <c r="B26" s="53" t="s">
        <v>588</v>
      </c>
      <c r="C26" s="54" t="s">
        <v>589</v>
      </c>
      <c r="D26" s="54" t="s">
        <v>590</v>
      </c>
      <c r="E26" s="55" t="s">
        <v>532</v>
      </c>
      <c r="F26" s="2" t="s">
        <v>533</v>
      </c>
      <c r="G26" s="2" t="s">
        <v>36</v>
      </c>
      <c r="H26" s="2" t="s">
        <v>534</v>
      </c>
      <c r="I26" s="15"/>
      <c r="J26" t="s">
        <v>579</v>
      </c>
      <c r="K26" s="54"/>
      <c r="L26" s="54" t="s">
        <v>580</v>
      </c>
      <c r="M26" s="54" t="s">
        <v>472</v>
      </c>
      <c r="O26" s="62"/>
      <c r="P26" s="64" t="s">
        <v>591</v>
      </c>
      <c r="Q26" s="77"/>
      <c r="R26" s="76" t="s">
        <v>592</v>
      </c>
    </row>
    <row r="27" ht="15" spans="1:18">
      <c r="A27" s="15"/>
      <c r="B27" s="53" t="s">
        <v>593</v>
      </c>
      <c r="C27" s="54"/>
      <c r="D27" s="54"/>
      <c r="E27" s="55"/>
      <c r="F27" s="2" t="s">
        <v>538</v>
      </c>
      <c r="G27" s="55" t="s">
        <v>539</v>
      </c>
      <c r="H27" s="55"/>
      <c r="I27" s="15"/>
      <c r="J27" t="s">
        <v>584</v>
      </c>
      <c r="K27" s="54"/>
      <c r="L27" s="54" t="s">
        <v>42</v>
      </c>
      <c r="M27" s="54" t="s">
        <v>534</v>
      </c>
      <c r="O27" s="62"/>
      <c r="P27" s="63" t="s">
        <v>594</v>
      </c>
      <c r="Q27" s="77"/>
      <c r="R27" s="76" t="s">
        <v>595</v>
      </c>
    </row>
    <row r="28" ht="15" spans="1:18">
      <c r="A28" s="15" t="s">
        <v>596</v>
      </c>
      <c r="B28" t="s">
        <v>597</v>
      </c>
      <c r="C28" s="2" t="s">
        <v>44</v>
      </c>
      <c r="D28" s="2" t="s">
        <v>464</v>
      </c>
      <c r="E28" s="55" t="s">
        <v>598</v>
      </c>
      <c r="F28" s="2" t="s">
        <v>599</v>
      </c>
      <c r="G28" s="54" t="s">
        <v>569</v>
      </c>
      <c r="H28" s="54" t="s">
        <v>600</v>
      </c>
      <c r="I28" s="15" t="s">
        <v>514</v>
      </c>
      <c r="J28" t="s">
        <v>515</v>
      </c>
      <c r="L28" s="2" t="s">
        <v>485</v>
      </c>
      <c r="M28" s="2" t="s">
        <v>445</v>
      </c>
      <c r="O28" s="62" t="s">
        <v>601</v>
      </c>
      <c r="P28" s="64" t="s">
        <v>602</v>
      </c>
      <c r="Q28" s="77"/>
      <c r="R28" s="76" t="s">
        <v>603</v>
      </c>
    </row>
    <row r="29" ht="15" spans="1:18">
      <c r="A29" s="15"/>
      <c r="B29" t="s">
        <v>604</v>
      </c>
      <c r="C29" s="2">
        <v>12</v>
      </c>
      <c r="D29" s="2">
        <v>17</v>
      </c>
      <c r="E29" s="55"/>
      <c r="F29" s="2" t="s">
        <v>605</v>
      </c>
      <c r="G29" s="54" t="s">
        <v>606</v>
      </c>
      <c r="H29" s="54" t="s">
        <v>607</v>
      </c>
      <c r="I29" s="15"/>
      <c r="J29" t="s">
        <v>524</v>
      </c>
      <c r="L29" s="2" t="s">
        <v>525</v>
      </c>
      <c r="M29" s="2" t="s">
        <v>526</v>
      </c>
      <c r="O29" s="62"/>
      <c r="P29" s="64" t="s">
        <v>608</v>
      </c>
      <c r="Q29" s="77"/>
      <c r="R29" s="76" t="s">
        <v>609</v>
      </c>
    </row>
    <row r="30" ht="15" spans="1:18">
      <c r="A30" s="15"/>
      <c r="B30" t="s">
        <v>610</v>
      </c>
      <c r="C30" s="2" t="s">
        <v>464</v>
      </c>
      <c r="D30" s="2" t="s">
        <v>475</v>
      </c>
      <c r="E30" s="55"/>
      <c r="F30" s="2" t="s">
        <v>516</v>
      </c>
      <c r="G30" s="54"/>
      <c r="H30" s="54"/>
      <c r="I30" s="65" t="s">
        <v>435</v>
      </c>
      <c r="J30" s="66" t="s">
        <v>436</v>
      </c>
      <c r="K30" s="67"/>
      <c r="L30" s="67" t="s">
        <v>30</v>
      </c>
      <c r="M30" s="67" t="s">
        <v>34</v>
      </c>
      <c r="O30" s="62"/>
      <c r="P30" s="64" t="s">
        <v>611</v>
      </c>
      <c r="Q30" s="77"/>
      <c r="R30" s="76" t="s">
        <v>612</v>
      </c>
    </row>
    <row r="31" ht="15" spans="1:18">
      <c r="A31" s="15" t="s">
        <v>453</v>
      </c>
      <c r="B31" t="s">
        <v>454</v>
      </c>
      <c r="C31" s="2">
        <v>10</v>
      </c>
      <c r="D31" s="2">
        <v>25</v>
      </c>
      <c r="E31" s="55" t="s">
        <v>613</v>
      </c>
      <c r="F31" s="2" t="s">
        <v>614</v>
      </c>
      <c r="G31" s="55">
        <v>1</v>
      </c>
      <c r="H31" s="55"/>
      <c r="I31" s="65"/>
      <c r="J31" s="66" t="s">
        <v>447</v>
      </c>
      <c r="K31" s="67"/>
      <c r="L31" s="67">
        <v>2</v>
      </c>
      <c r="M31" s="67" t="s">
        <v>36</v>
      </c>
      <c r="O31" s="62"/>
      <c r="P31" s="63"/>
      <c r="Q31" s="77"/>
      <c r="R31" s="76" t="s">
        <v>615</v>
      </c>
    </row>
    <row r="32" ht="15" spans="1:18">
      <c r="A32" s="15"/>
      <c r="B32" t="s">
        <v>463</v>
      </c>
      <c r="C32" s="2" t="s">
        <v>464</v>
      </c>
      <c r="D32" s="2" t="s">
        <v>465</v>
      </c>
      <c r="E32" s="55"/>
      <c r="F32" s="2" t="s">
        <v>616</v>
      </c>
      <c r="G32" s="55">
        <v>2</v>
      </c>
      <c r="H32" s="55"/>
      <c r="I32" s="15" t="s">
        <v>617</v>
      </c>
      <c r="J32" t="s">
        <v>618</v>
      </c>
      <c r="K32" s="2"/>
      <c r="L32" s="2" t="s">
        <v>446</v>
      </c>
      <c r="M32" s="2" t="s">
        <v>41</v>
      </c>
      <c r="O32" s="62" t="s">
        <v>619</v>
      </c>
      <c r="P32" s="63" t="s">
        <v>620</v>
      </c>
      <c r="Q32" s="77"/>
      <c r="R32" s="76" t="s">
        <v>621</v>
      </c>
    </row>
    <row r="33" ht="15" spans="1:18">
      <c r="A33" s="15"/>
      <c r="B33" t="s">
        <v>474</v>
      </c>
      <c r="C33" s="2" t="s">
        <v>475</v>
      </c>
      <c r="D33" s="2">
        <v>40</v>
      </c>
      <c r="E33" s="55"/>
      <c r="F33" s="2" t="s">
        <v>120</v>
      </c>
      <c r="G33" s="55">
        <v>3</v>
      </c>
      <c r="H33" s="55"/>
      <c r="I33" s="15"/>
      <c r="J33" t="s">
        <v>622</v>
      </c>
      <c r="K33" s="2"/>
      <c r="L33" s="2"/>
      <c r="M33" s="2"/>
      <c r="O33" s="62" t="s">
        <v>623</v>
      </c>
      <c r="P33" s="63" t="s">
        <v>624</v>
      </c>
      <c r="Q33" s="77"/>
      <c r="R33" s="76" t="s">
        <v>625</v>
      </c>
    </row>
    <row r="34" ht="15" spans="1:18">
      <c r="A34" s="15" t="s">
        <v>537</v>
      </c>
      <c r="B34" s="53" t="s">
        <v>626</v>
      </c>
      <c r="C34" s="54" t="s">
        <v>44</v>
      </c>
      <c r="D34" s="54" t="s">
        <v>627</v>
      </c>
      <c r="E34" s="55" t="s">
        <v>628</v>
      </c>
      <c r="F34" s="2" t="s">
        <v>629</v>
      </c>
      <c r="G34" s="2">
        <v>1</v>
      </c>
      <c r="H34" s="2">
        <v>5</v>
      </c>
      <c r="I34" s="15"/>
      <c r="J34" t="s">
        <v>630</v>
      </c>
      <c r="K34" s="2"/>
      <c r="L34" s="2"/>
      <c r="M34" s="2"/>
      <c r="O34" s="62" t="s">
        <v>631</v>
      </c>
      <c r="P34" s="63" t="s">
        <v>632</v>
      </c>
      <c r="Q34" s="77"/>
      <c r="R34" s="76" t="s">
        <v>633</v>
      </c>
    </row>
    <row r="35" ht="15" spans="1:18">
      <c r="A35" s="15"/>
      <c r="B35" s="53" t="s">
        <v>634</v>
      </c>
      <c r="C35" s="54" t="s">
        <v>635</v>
      </c>
      <c r="D35" s="54" t="s">
        <v>517</v>
      </c>
      <c r="E35" s="55"/>
      <c r="F35" s="2" t="s">
        <v>636</v>
      </c>
      <c r="G35" s="2">
        <v>4</v>
      </c>
      <c r="H35" s="2">
        <v>7</v>
      </c>
      <c r="I35" s="15" t="s">
        <v>637</v>
      </c>
      <c r="J35" t="s">
        <v>629</v>
      </c>
      <c r="K35" s="2"/>
      <c r="L35">
        <v>1</v>
      </c>
      <c r="M35">
        <v>5</v>
      </c>
      <c r="O35" s="62" t="s">
        <v>638</v>
      </c>
      <c r="P35" s="63" t="s">
        <v>639</v>
      </c>
      <c r="Q35" s="77"/>
      <c r="R35" s="76" t="s">
        <v>640</v>
      </c>
    </row>
    <row r="36" ht="15" spans="1:18">
      <c r="A36" s="15"/>
      <c r="B36" s="53" t="s">
        <v>641</v>
      </c>
      <c r="C36" s="54" t="s">
        <v>475</v>
      </c>
      <c r="D36" s="54" t="s">
        <v>642</v>
      </c>
      <c r="E36" s="55"/>
      <c r="F36" s="2" t="s">
        <v>643</v>
      </c>
      <c r="G36" s="2"/>
      <c r="H36" s="2"/>
      <c r="I36" s="15"/>
      <c r="J36" t="s">
        <v>636</v>
      </c>
      <c r="K36" s="2"/>
      <c r="L36" s="53"/>
      <c r="M36" s="53">
        <v>7</v>
      </c>
      <c r="O36" s="68" t="s">
        <v>644</v>
      </c>
      <c r="P36" s="63" t="s">
        <v>645</v>
      </c>
      <c r="Q36" s="77"/>
      <c r="R36" s="76" t="s">
        <v>646</v>
      </c>
    </row>
    <row r="37" ht="15" spans="1:18">
      <c r="A37" s="15"/>
      <c r="B37" s="53" t="s">
        <v>647</v>
      </c>
      <c r="C37" s="54" t="s">
        <v>648</v>
      </c>
      <c r="D37" s="54" t="s">
        <v>649</v>
      </c>
      <c r="E37" s="55" t="s">
        <v>650</v>
      </c>
      <c r="F37" s="2" t="s">
        <v>651</v>
      </c>
      <c r="G37" s="2" t="s">
        <v>30</v>
      </c>
      <c r="H37" s="2"/>
      <c r="I37" s="15"/>
      <c r="J37" t="s">
        <v>643</v>
      </c>
      <c r="K37" s="2"/>
      <c r="L37" s="2"/>
      <c r="M37" s="2"/>
      <c r="O37" s="62"/>
      <c r="P37" s="63"/>
      <c r="Q37" s="77"/>
      <c r="R37" s="76" t="s">
        <v>652</v>
      </c>
    </row>
    <row r="38" ht="15" spans="1:18">
      <c r="A38" s="15"/>
      <c r="B38" s="53" t="s">
        <v>653</v>
      </c>
      <c r="C38" s="54" t="s">
        <v>654</v>
      </c>
      <c r="D38" s="54" t="s">
        <v>655</v>
      </c>
      <c r="E38" s="55"/>
      <c r="F38" s="2" t="s">
        <v>656</v>
      </c>
      <c r="G38" s="2" t="s">
        <v>32</v>
      </c>
      <c r="H38" s="2"/>
      <c r="I38" s="15" t="s">
        <v>596</v>
      </c>
      <c r="J38" t="s">
        <v>597</v>
      </c>
      <c r="K38" s="2"/>
      <c r="L38" s="2" t="s">
        <v>44</v>
      </c>
      <c r="M38" s="2" t="s">
        <v>464</v>
      </c>
      <c r="O38" s="62" t="s">
        <v>657</v>
      </c>
      <c r="P38" s="63" t="s">
        <v>658</v>
      </c>
      <c r="Q38" s="77"/>
      <c r="R38" s="76" t="s">
        <v>659</v>
      </c>
    </row>
    <row r="39" ht="15" spans="1:18">
      <c r="A39" s="15" t="s">
        <v>660</v>
      </c>
      <c r="B39" s="53" t="s">
        <v>661</v>
      </c>
      <c r="C39" s="54" t="s">
        <v>32</v>
      </c>
      <c r="D39" s="54" t="s">
        <v>38</v>
      </c>
      <c r="E39" s="55"/>
      <c r="F39" s="2" t="s">
        <v>662</v>
      </c>
      <c r="G39" s="2" t="s">
        <v>34</v>
      </c>
      <c r="H39" s="2"/>
      <c r="I39" s="15"/>
      <c r="J39" t="s">
        <v>604</v>
      </c>
      <c r="K39" s="2"/>
      <c r="L39" s="2">
        <v>12</v>
      </c>
      <c r="M39" s="2">
        <v>17</v>
      </c>
      <c r="O39" s="62" t="s">
        <v>663</v>
      </c>
      <c r="P39" s="63" t="s">
        <v>664</v>
      </c>
      <c r="Q39" s="77"/>
      <c r="R39" s="76" t="s">
        <v>665</v>
      </c>
    </row>
    <row r="40" ht="15" spans="1:18">
      <c r="A40" s="15"/>
      <c r="B40" s="53" t="s">
        <v>666</v>
      </c>
      <c r="C40" s="54" t="s">
        <v>34</v>
      </c>
      <c r="D40" s="54" t="s">
        <v>40</v>
      </c>
      <c r="E40" s="55"/>
      <c r="F40" s="57" t="s">
        <v>667</v>
      </c>
      <c r="G40" s="2" t="s">
        <v>36</v>
      </c>
      <c r="H40" s="2"/>
      <c r="I40" s="15"/>
      <c r="J40" t="s">
        <v>610</v>
      </c>
      <c r="K40" s="2"/>
      <c r="L40" s="2" t="s">
        <v>464</v>
      </c>
      <c r="M40" s="2" t="s">
        <v>475</v>
      </c>
      <c r="O40" s="62" t="s">
        <v>668</v>
      </c>
      <c r="P40" s="64" t="s">
        <v>669</v>
      </c>
      <c r="Q40" s="77"/>
      <c r="R40" s="76" t="s">
        <v>670</v>
      </c>
    </row>
    <row r="41" ht="15" spans="1:18">
      <c r="A41" s="15"/>
      <c r="B41" s="53" t="s">
        <v>671</v>
      </c>
      <c r="C41" s="54" t="s">
        <v>41</v>
      </c>
      <c r="D41" s="54" t="s">
        <v>43</v>
      </c>
      <c r="E41" s="55"/>
      <c r="F41" s="57" t="s">
        <v>672</v>
      </c>
      <c r="G41" s="2" t="s">
        <v>38</v>
      </c>
      <c r="H41" s="2"/>
      <c r="K41" s="2"/>
      <c r="L41" s="2"/>
      <c r="M41" s="2"/>
      <c r="O41" s="62"/>
      <c r="P41" s="64" t="s">
        <v>673</v>
      </c>
      <c r="Q41" s="77"/>
      <c r="R41" s="76" t="s">
        <v>674</v>
      </c>
    </row>
    <row r="42" ht="15" spans="1:18">
      <c r="A42" s="15"/>
      <c r="B42" s="53" t="s">
        <v>675</v>
      </c>
      <c r="C42" s="54">
        <v>8</v>
      </c>
      <c r="D42" s="54">
        <v>11</v>
      </c>
      <c r="E42" s="55"/>
      <c r="F42" s="57" t="s">
        <v>676</v>
      </c>
      <c r="G42" s="2" t="s">
        <v>40</v>
      </c>
      <c r="H42" s="2"/>
      <c r="I42" s="51" t="s">
        <v>677</v>
      </c>
      <c r="J42" s="52"/>
      <c r="K42" s="2"/>
      <c r="L42" s="2"/>
      <c r="M42" s="2"/>
      <c r="O42" s="62"/>
      <c r="P42" s="64" t="s">
        <v>678</v>
      </c>
      <c r="Q42" s="77"/>
      <c r="R42" s="76" t="s">
        <v>679</v>
      </c>
    </row>
    <row r="43" ht="15" spans="1:18">
      <c r="A43" s="15" t="s">
        <v>680</v>
      </c>
      <c r="B43" s="56" t="s">
        <v>681</v>
      </c>
      <c r="C43" s="2" t="s">
        <v>30</v>
      </c>
      <c r="D43" s="2">
        <v>5</v>
      </c>
      <c r="E43" s="2"/>
      <c r="F43" s="2"/>
      <c r="G43" s="2"/>
      <c r="H43" s="2"/>
      <c r="I43" s="15" t="s">
        <v>565</v>
      </c>
      <c r="J43" t="s">
        <v>566</v>
      </c>
      <c r="K43" s="2"/>
      <c r="L43" s="2" t="s">
        <v>30</v>
      </c>
      <c r="M43" s="2" t="s">
        <v>32</v>
      </c>
      <c r="O43" s="62"/>
      <c r="P43" s="63" t="s">
        <v>682</v>
      </c>
      <c r="Q43" s="77"/>
      <c r="R43" s="76" t="s">
        <v>683</v>
      </c>
    </row>
    <row r="44" ht="15" spans="1:18">
      <c r="A44" s="15"/>
      <c r="B44" s="53" t="s">
        <v>684</v>
      </c>
      <c r="C44" s="54" t="s">
        <v>34</v>
      </c>
      <c r="D44" s="54" t="s">
        <v>41</v>
      </c>
      <c r="E44" s="58" t="s">
        <v>685</v>
      </c>
      <c r="F44" s="59"/>
      <c r="G44" s="2"/>
      <c r="H44" s="2"/>
      <c r="I44" s="15"/>
      <c r="J44" t="s">
        <v>570</v>
      </c>
      <c r="K44" s="2"/>
      <c r="L44" s="2" t="s">
        <v>32</v>
      </c>
      <c r="M44" s="2" t="s">
        <v>34</v>
      </c>
      <c r="O44" s="62" t="s">
        <v>686</v>
      </c>
      <c r="P44" s="64" t="s">
        <v>687</v>
      </c>
      <c r="Q44" s="77"/>
      <c r="R44" s="76" t="s">
        <v>688</v>
      </c>
    </row>
    <row r="45" ht="15" spans="1:18">
      <c r="A45" s="15"/>
      <c r="B45" s="53" t="s">
        <v>689</v>
      </c>
      <c r="C45" s="54" t="s">
        <v>38</v>
      </c>
      <c r="D45" s="54" t="s">
        <v>41</v>
      </c>
      <c r="E45" s="55" t="s">
        <v>432</v>
      </c>
      <c r="F45" s="2" t="s">
        <v>433</v>
      </c>
      <c r="G45" s="2" t="s">
        <v>434</v>
      </c>
      <c r="H45" s="2">
        <v>4</v>
      </c>
      <c r="I45" s="15"/>
      <c r="J45" t="s">
        <v>574</v>
      </c>
      <c r="K45" s="2"/>
      <c r="L45" s="2" t="s">
        <v>34</v>
      </c>
      <c r="M45" s="2" t="s">
        <v>36</v>
      </c>
      <c r="O45" s="62"/>
      <c r="P45" s="64" t="s">
        <v>690</v>
      </c>
      <c r="Q45" s="77"/>
      <c r="R45" s="76" t="s">
        <v>691</v>
      </c>
    </row>
    <row r="46" ht="15" spans="1:18">
      <c r="A46" s="15"/>
      <c r="B46" s="53" t="s">
        <v>692</v>
      </c>
      <c r="C46" s="54" t="s">
        <v>44</v>
      </c>
      <c r="D46" s="54"/>
      <c r="E46" s="55"/>
      <c r="F46" s="2" t="s">
        <v>444</v>
      </c>
      <c r="G46" s="2" t="s">
        <v>445</v>
      </c>
      <c r="H46" s="2" t="s">
        <v>446</v>
      </c>
      <c r="I46" s="15"/>
      <c r="J46" t="s">
        <v>579</v>
      </c>
      <c r="K46" s="2"/>
      <c r="L46" s="54" t="s">
        <v>580</v>
      </c>
      <c r="M46" s="54" t="s">
        <v>472</v>
      </c>
      <c r="O46" s="62"/>
      <c r="P46" s="63" t="s">
        <v>693</v>
      </c>
      <c r="Q46" s="77"/>
      <c r="R46" s="76" t="s">
        <v>694</v>
      </c>
    </row>
    <row r="47" ht="15" spans="1:18">
      <c r="A47" s="15" t="s">
        <v>508</v>
      </c>
      <c r="B47" t="s">
        <v>509</v>
      </c>
      <c r="C47" s="2">
        <v>15</v>
      </c>
      <c r="D47" s="2">
        <v>30</v>
      </c>
      <c r="E47" s="2"/>
      <c r="F47" s="2"/>
      <c r="G47" s="2"/>
      <c r="H47" s="2"/>
      <c r="I47" s="15"/>
      <c r="J47" t="s">
        <v>584</v>
      </c>
      <c r="K47" s="2"/>
      <c r="L47" s="54" t="s">
        <v>42</v>
      </c>
      <c r="M47" s="54" t="s">
        <v>534</v>
      </c>
      <c r="O47" s="69" t="s">
        <v>695</v>
      </c>
      <c r="P47" s="70" t="s">
        <v>531</v>
      </c>
      <c r="Q47" s="77"/>
      <c r="R47" s="76" t="s">
        <v>696</v>
      </c>
    </row>
    <row r="48" ht="15" spans="1:18">
      <c r="A48" s="15"/>
      <c r="B48" t="s">
        <v>516</v>
      </c>
      <c r="C48" s="2" t="s">
        <v>517</v>
      </c>
      <c r="D48" s="2" t="s">
        <v>518</v>
      </c>
      <c r="E48" s="58" t="s">
        <v>697</v>
      </c>
      <c r="F48" s="59"/>
      <c r="G48" s="2"/>
      <c r="H48" s="2"/>
      <c r="I48" s="15" t="s">
        <v>122</v>
      </c>
      <c r="J48" t="s">
        <v>698</v>
      </c>
      <c r="K48" s="2"/>
      <c r="L48" s="2" t="s">
        <v>30</v>
      </c>
      <c r="M48" s="2" t="s">
        <v>32</v>
      </c>
      <c r="O48" s="69" t="s">
        <v>699</v>
      </c>
      <c r="P48" s="70" t="s">
        <v>700</v>
      </c>
      <c r="Q48" s="77"/>
      <c r="R48" s="76" t="s">
        <v>701</v>
      </c>
    </row>
    <row r="49" ht="15" spans="1:18">
      <c r="A49" s="15"/>
      <c r="B49" t="s">
        <v>527</v>
      </c>
      <c r="C49" s="2" t="s">
        <v>465</v>
      </c>
      <c r="D49" s="2">
        <v>50</v>
      </c>
      <c r="E49" s="55" t="s">
        <v>483</v>
      </c>
      <c r="F49" s="2" t="s">
        <v>484</v>
      </c>
      <c r="G49" s="2" t="s">
        <v>395</v>
      </c>
      <c r="H49" s="2" t="s">
        <v>445</v>
      </c>
      <c r="I49" s="15"/>
      <c r="J49" t="s">
        <v>702</v>
      </c>
      <c r="K49" s="2"/>
      <c r="L49" s="2" t="s">
        <v>32</v>
      </c>
      <c r="M49" s="2" t="s">
        <v>34</v>
      </c>
      <c r="O49" s="71" t="s">
        <v>703</v>
      </c>
      <c r="P49" s="72" t="s">
        <v>537</v>
      </c>
      <c r="Q49" s="77"/>
      <c r="R49" s="76" t="s">
        <v>704</v>
      </c>
    </row>
    <row r="50" ht="15" spans="5:18">
      <c r="E50" s="55"/>
      <c r="F50" s="2" t="s">
        <v>493</v>
      </c>
      <c r="G50" s="2" t="s">
        <v>569</v>
      </c>
      <c r="H50" s="2" t="s">
        <v>494</v>
      </c>
      <c r="I50" s="15"/>
      <c r="J50" t="s">
        <v>705</v>
      </c>
      <c r="K50" s="2"/>
      <c r="L50" s="2" t="s">
        <v>34</v>
      </c>
      <c r="M50" s="2" t="s">
        <v>36</v>
      </c>
      <c r="O50" s="71" t="s">
        <v>706</v>
      </c>
      <c r="P50" s="72" t="s">
        <v>573</v>
      </c>
      <c r="Q50" s="77"/>
      <c r="R50" s="76" t="s">
        <v>707</v>
      </c>
    </row>
    <row r="51" ht="15" spans="5:18">
      <c r="E51" s="55"/>
      <c r="F51" s="2" t="s">
        <v>501</v>
      </c>
      <c r="G51" s="2" t="s">
        <v>494</v>
      </c>
      <c r="H51" s="2" t="s">
        <v>59</v>
      </c>
      <c r="I51" s="15"/>
      <c r="J51" t="s">
        <v>708</v>
      </c>
      <c r="K51" s="2"/>
      <c r="L51" s="2" t="s">
        <v>36</v>
      </c>
      <c r="M51" s="2" t="s">
        <v>38</v>
      </c>
      <c r="O51" s="71" t="s">
        <v>709</v>
      </c>
      <c r="P51" s="72" t="s">
        <v>544</v>
      </c>
      <c r="Q51" s="77"/>
      <c r="R51" s="76" t="s">
        <v>710</v>
      </c>
    </row>
    <row r="52" ht="15" spans="5:18">
      <c r="E52" s="55" t="s">
        <v>711</v>
      </c>
      <c r="F52" s="2" t="s">
        <v>712</v>
      </c>
      <c r="G52" s="2">
        <v>10</v>
      </c>
      <c r="H52" s="2">
        <v>25</v>
      </c>
      <c r="I52" s="15"/>
      <c r="J52" t="s">
        <v>713</v>
      </c>
      <c r="K52" s="2"/>
      <c r="L52" s="2" t="s">
        <v>38</v>
      </c>
      <c r="M52" s="2" t="s">
        <v>40</v>
      </c>
      <c r="O52" s="71" t="s">
        <v>714</v>
      </c>
      <c r="P52" s="72" t="s">
        <v>548</v>
      </c>
      <c r="Q52" s="77"/>
      <c r="R52" s="76" t="s">
        <v>715</v>
      </c>
    </row>
    <row r="53" ht="15" spans="5:18">
      <c r="E53" s="55"/>
      <c r="F53" s="2" t="s">
        <v>716</v>
      </c>
      <c r="G53" s="2" t="s">
        <v>464</v>
      </c>
      <c r="H53" s="2" t="s">
        <v>465</v>
      </c>
      <c r="I53" s="15" t="s">
        <v>717</v>
      </c>
      <c r="J53" t="s">
        <v>718</v>
      </c>
      <c r="K53" s="2"/>
      <c r="L53" s="2" t="s">
        <v>485</v>
      </c>
      <c r="M53" s="2" t="s">
        <v>34</v>
      </c>
      <c r="O53" s="71" t="s">
        <v>719</v>
      </c>
      <c r="P53" s="72" t="s">
        <v>720</v>
      </c>
      <c r="Q53" s="77"/>
      <c r="R53" s="76" t="s">
        <v>721</v>
      </c>
    </row>
    <row r="54" ht="15" spans="5:18">
      <c r="E54" s="55"/>
      <c r="F54" s="2" t="s">
        <v>722</v>
      </c>
      <c r="G54" s="2" t="s">
        <v>475</v>
      </c>
      <c r="H54" s="2">
        <v>40</v>
      </c>
      <c r="I54" s="15"/>
      <c r="J54" t="s">
        <v>723</v>
      </c>
      <c r="K54" s="2"/>
      <c r="L54" s="2" t="s">
        <v>34</v>
      </c>
      <c r="M54" s="2" t="s">
        <v>38</v>
      </c>
      <c r="O54" s="71" t="s">
        <v>724</v>
      </c>
      <c r="P54" s="72" t="s">
        <v>725</v>
      </c>
      <c r="Q54" s="77"/>
      <c r="R54" s="76" t="s">
        <v>726</v>
      </c>
    </row>
    <row r="55" ht="15" spans="5:18">
      <c r="E55" s="2"/>
      <c r="F55" s="2"/>
      <c r="G55" s="2"/>
      <c r="H55" s="2"/>
      <c r="I55" s="15"/>
      <c r="J55" t="s">
        <v>727</v>
      </c>
      <c r="K55" s="2"/>
      <c r="L55" s="54" t="s">
        <v>34</v>
      </c>
      <c r="M55" s="54" t="s">
        <v>41</v>
      </c>
      <c r="O55" s="71" t="s">
        <v>728</v>
      </c>
      <c r="P55" s="72" t="s">
        <v>729</v>
      </c>
      <c r="Q55" s="77"/>
      <c r="R55" s="76" t="s">
        <v>730</v>
      </c>
    </row>
    <row r="56" ht="15" spans="5:18">
      <c r="E56" s="58" t="s">
        <v>731</v>
      </c>
      <c r="F56" s="59"/>
      <c r="G56" s="2"/>
      <c r="H56" s="2"/>
      <c r="I56" s="15" t="s">
        <v>732</v>
      </c>
      <c r="J56" t="s">
        <v>733</v>
      </c>
      <c r="K56" s="2"/>
      <c r="L56" s="2" t="s">
        <v>485</v>
      </c>
      <c r="M56" s="2" t="s">
        <v>445</v>
      </c>
      <c r="Q56" s="77"/>
      <c r="R56" s="76" t="s">
        <v>734</v>
      </c>
    </row>
    <row r="57" ht="15" spans="5:18">
      <c r="E57" s="55" t="s">
        <v>483</v>
      </c>
      <c r="F57" s="2" t="s">
        <v>484</v>
      </c>
      <c r="G57" s="2" t="s">
        <v>395</v>
      </c>
      <c r="H57" s="2" t="s">
        <v>445</v>
      </c>
      <c r="I57" s="15"/>
      <c r="J57" t="s">
        <v>727</v>
      </c>
      <c r="K57" s="2"/>
      <c r="L57" s="2" t="s">
        <v>434</v>
      </c>
      <c r="M57" s="2" t="s">
        <v>494</v>
      </c>
      <c r="Q57" s="77"/>
      <c r="R57" s="76" t="s">
        <v>735</v>
      </c>
    </row>
    <row r="58" ht="15" spans="5:18">
      <c r="E58" s="55"/>
      <c r="F58" s="2" t="s">
        <v>493</v>
      </c>
      <c r="G58" s="2" t="s">
        <v>569</v>
      </c>
      <c r="H58" s="2" t="s">
        <v>494</v>
      </c>
      <c r="I58" s="15"/>
      <c r="J58" t="s">
        <v>736</v>
      </c>
      <c r="K58" s="2"/>
      <c r="L58" s="2" t="s">
        <v>445</v>
      </c>
      <c r="M58" s="2" t="s">
        <v>446</v>
      </c>
      <c r="Q58" s="77"/>
      <c r="R58" s="78" t="s">
        <v>737</v>
      </c>
    </row>
    <row r="59" ht="14.25" customHeight="1" spans="5:18">
      <c r="E59" s="55"/>
      <c r="F59" s="2" t="s">
        <v>501</v>
      </c>
      <c r="G59" s="2" t="s">
        <v>494</v>
      </c>
      <c r="H59" s="2" t="s">
        <v>59</v>
      </c>
      <c r="I59" s="15"/>
      <c r="J59" t="s">
        <v>738</v>
      </c>
      <c r="K59" s="2"/>
      <c r="L59" s="2" t="s">
        <v>494</v>
      </c>
      <c r="M59" s="2" t="s">
        <v>59</v>
      </c>
      <c r="Q59" s="75" t="s">
        <v>571</v>
      </c>
      <c r="R59" s="76" t="s">
        <v>553</v>
      </c>
    </row>
    <row r="60" ht="14.25" spans="5:18">
      <c r="E60" s="55" t="s">
        <v>711</v>
      </c>
      <c r="F60" s="2" t="s">
        <v>712</v>
      </c>
      <c r="G60" s="2">
        <v>10</v>
      </c>
      <c r="H60" s="2">
        <v>25</v>
      </c>
      <c r="I60" s="15"/>
      <c r="J60" t="s">
        <v>739</v>
      </c>
      <c r="K60" s="2"/>
      <c r="L60" s="2" t="s">
        <v>580</v>
      </c>
      <c r="M60" s="2" t="s">
        <v>472</v>
      </c>
      <c r="Q60" s="75"/>
      <c r="R60" s="76" t="s">
        <v>451</v>
      </c>
    </row>
    <row r="61" ht="14.25" spans="5:18">
      <c r="E61" s="55"/>
      <c r="F61" s="2" t="s">
        <v>716</v>
      </c>
      <c r="G61" s="2" t="s">
        <v>464</v>
      </c>
      <c r="H61" s="2" t="s">
        <v>465</v>
      </c>
      <c r="I61" s="15"/>
      <c r="J61" t="s">
        <v>740</v>
      </c>
      <c r="K61" s="2"/>
      <c r="L61" s="2" t="s">
        <v>741</v>
      </c>
      <c r="M61" s="2" t="s">
        <v>742</v>
      </c>
      <c r="Q61" s="75"/>
      <c r="R61" s="76" t="s">
        <v>743</v>
      </c>
    </row>
    <row r="62" ht="14.25" spans="5:18">
      <c r="E62" s="55"/>
      <c r="F62" s="2" t="s">
        <v>722</v>
      </c>
      <c r="G62" s="2" t="s">
        <v>475</v>
      </c>
      <c r="H62" s="2">
        <v>40</v>
      </c>
      <c r="I62" s="15" t="s">
        <v>744</v>
      </c>
      <c r="J62" t="s">
        <v>745</v>
      </c>
      <c r="K62" s="2"/>
      <c r="L62" s="2" t="s">
        <v>38</v>
      </c>
      <c r="M62" s="2" t="s">
        <v>44</v>
      </c>
      <c r="Q62" s="75"/>
      <c r="R62" s="76" t="s">
        <v>746</v>
      </c>
    </row>
    <row r="63" ht="14.25" spans="9:18">
      <c r="I63" s="15"/>
      <c r="J63" t="s">
        <v>747</v>
      </c>
      <c r="K63" s="2"/>
      <c r="L63" s="2" t="s">
        <v>41</v>
      </c>
      <c r="M63" s="24">
        <v>12</v>
      </c>
      <c r="Q63" s="75"/>
      <c r="R63" s="76" t="s">
        <v>748</v>
      </c>
    </row>
    <row r="64" ht="14.25" spans="9:18">
      <c r="I64" s="15"/>
      <c r="J64" t="s">
        <v>718</v>
      </c>
      <c r="K64" s="2"/>
      <c r="L64" s="2" t="s">
        <v>43</v>
      </c>
      <c r="M64" s="12" t="s">
        <v>749</v>
      </c>
      <c r="Q64" s="75"/>
      <c r="R64" s="76" t="s">
        <v>498</v>
      </c>
    </row>
    <row r="65" ht="14.25" spans="9:18">
      <c r="I65" s="15"/>
      <c r="J65" s="56" t="s">
        <v>750</v>
      </c>
      <c r="K65" s="2"/>
      <c r="L65" s="54" t="s">
        <v>534</v>
      </c>
      <c r="M65" s="84" t="s">
        <v>635</v>
      </c>
      <c r="Q65" s="75"/>
      <c r="R65" s="76" t="s">
        <v>751</v>
      </c>
    </row>
    <row r="66" ht="14.25" spans="9:18">
      <c r="I66" s="15" t="s">
        <v>752</v>
      </c>
      <c r="J66" s="56" t="s">
        <v>753</v>
      </c>
      <c r="K66" s="2"/>
      <c r="L66" s="2" t="s">
        <v>40</v>
      </c>
      <c r="M66" s="12" t="s">
        <v>44</v>
      </c>
      <c r="Q66" s="75"/>
      <c r="R66" s="76" t="s">
        <v>504</v>
      </c>
    </row>
    <row r="67" ht="14.25" spans="9:18">
      <c r="I67" s="15"/>
      <c r="J67" s="56" t="s">
        <v>754</v>
      </c>
      <c r="K67" s="2"/>
      <c r="L67" s="2" t="s">
        <v>40</v>
      </c>
      <c r="M67" s="12">
        <v>12</v>
      </c>
      <c r="Q67" s="75"/>
      <c r="R67" s="76" t="s">
        <v>755</v>
      </c>
    </row>
    <row r="68" ht="15" spans="9:18">
      <c r="I68" s="15"/>
      <c r="J68" s="56" t="s">
        <v>756</v>
      </c>
      <c r="K68" s="2"/>
      <c r="L68" s="54" t="s">
        <v>43</v>
      </c>
      <c r="M68" s="85">
        <v>14</v>
      </c>
      <c r="Q68" s="77"/>
      <c r="R68" s="78" t="s">
        <v>513</v>
      </c>
    </row>
    <row r="69" ht="14.25" customHeight="1" spans="9:18">
      <c r="I69" s="15"/>
      <c r="J69" s="56" t="s">
        <v>757</v>
      </c>
      <c r="K69" s="2"/>
      <c r="L69" s="54"/>
      <c r="M69" s="54" t="s">
        <v>464</v>
      </c>
      <c r="Q69" s="75" t="s">
        <v>685</v>
      </c>
      <c r="R69" s="76" t="s">
        <v>431</v>
      </c>
    </row>
    <row r="70" ht="14.25" spans="11:18">
      <c r="K70" s="2"/>
      <c r="L70" s="2"/>
      <c r="M70" s="2"/>
      <c r="Q70" s="75"/>
      <c r="R70" s="76" t="s">
        <v>470</v>
      </c>
    </row>
    <row r="71" ht="15" spans="17:18">
      <c r="Q71" s="77"/>
      <c r="R71" s="78" t="s">
        <v>758</v>
      </c>
    </row>
    <row r="72" ht="15.75" customHeight="1" spans="1:18">
      <c r="A72" s="81" t="s">
        <v>759</v>
      </c>
      <c r="B72" s="24"/>
      <c r="C72" s="24"/>
      <c r="D72" s="24"/>
      <c r="E72" s="24"/>
      <c r="F72" s="24"/>
      <c r="G72" s="24"/>
      <c r="H72" s="24"/>
      <c r="I72" s="24"/>
      <c r="J72" s="24"/>
      <c r="K72" s="24"/>
      <c r="L72" s="24"/>
      <c r="M72" s="24"/>
      <c r="N72" s="24"/>
      <c r="Q72" s="77" t="s">
        <v>419</v>
      </c>
      <c r="R72" s="76" t="s">
        <v>489</v>
      </c>
    </row>
    <row r="73" ht="15" spans="1:18">
      <c r="A73" s="24"/>
      <c r="B73" s="24"/>
      <c r="C73" s="24"/>
      <c r="D73" s="24"/>
      <c r="E73" s="24"/>
      <c r="F73" s="24"/>
      <c r="G73" s="24"/>
      <c r="H73" s="24"/>
      <c r="I73" s="24"/>
      <c r="J73" s="24"/>
      <c r="K73" s="24"/>
      <c r="L73" s="24"/>
      <c r="M73" s="24"/>
      <c r="N73" s="24"/>
      <c r="Q73" s="77"/>
      <c r="R73" s="76" t="s">
        <v>743</v>
      </c>
    </row>
    <row r="74" ht="15" spans="1:18">
      <c r="A74" s="24"/>
      <c r="B74" s="24"/>
      <c r="C74" s="24"/>
      <c r="D74" s="24"/>
      <c r="E74" s="24"/>
      <c r="F74" s="24"/>
      <c r="G74" s="24"/>
      <c r="H74" s="24"/>
      <c r="I74" s="24"/>
      <c r="J74" s="24"/>
      <c r="K74" s="24"/>
      <c r="L74" s="24"/>
      <c r="M74" s="24"/>
      <c r="N74" s="24"/>
      <c r="Q74" s="77"/>
      <c r="R74" s="76" t="s">
        <v>523</v>
      </c>
    </row>
    <row r="75" ht="15" spans="1:18">
      <c r="A75" s="24"/>
      <c r="B75" s="24"/>
      <c r="C75" s="24"/>
      <c r="D75" s="24"/>
      <c r="E75" s="24"/>
      <c r="F75" s="24"/>
      <c r="G75" s="24"/>
      <c r="H75" s="24"/>
      <c r="I75" s="24"/>
      <c r="J75" s="24"/>
      <c r="K75" s="24"/>
      <c r="L75" s="24"/>
      <c r="M75" s="24"/>
      <c r="N75" s="24"/>
      <c r="Q75" s="77"/>
      <c r="R75" s="78" t="s">
        <v>531</v>
      </c>
    </row>
    <row r="76" ht="15.75" customHeight="1" spans="1:18">
      <c r="A76" s="24"/>
      <c r="B76" s="24"/>
      <c r="C76" s="24"/>
      <c r="D76" s="24"/>
      <c r="E76" s="24"/>
      <c r="F76" s="24"/>
      <c r="G76" s="24"/>
      <c r="H76" s="24"/>
      <c r="I76" s="24"/>
      <c r="J76" s="24"/>
      <c r="K76" s="24"/>
      <c r="L76" s="24"/>
      <c r="M76" s="24"/>
      <c r="N76" s="24"/>
      <c r="Q76" s="77" t="s">
        <v>760</v>
      </c>
      <c r="R76" s="76" t="s">
        <v>489</v>
      </c>
    </row>
    <row r="77" ht="15" spans="1:18">
      <c r="A77" s="24"/>
      <c r="B77" s="24"/>
      <c r="C77" s="24"/>
      <c r="D77" s="24"/>
      <c r="E77" s="24"/>
      <c r="F77" s="24"/>
      <c r="G77" s="24"/>
      <c r="H77" s="24"/>
      <c r="I77" s="24"/>
      <c r="J77" s="24"/>
      <c r="K77" s="24"/>
      <c r="L77" s="24"/>
      <c r="M77" s="24"/>
      <c r="N77" s="24"/>
      <c r="Q77" s="77"/>
      <c r="R77" s="78" t="s">
        <v>700</v>
      </c>
    </row>
    <row r="78" ht="15.75" customHeight="1" spans="1:18">
      <c r="A78" s="24"/>
      <c r="B78" s="24"/>
      <c r="C78" s="24"/>
      <c r="D78" s="24"/>
      <c r="E78" s="24"/>
      <c r="F78" s="24"/>
      <c r="G78" s="24"/>
      <c r="H78" s="24"/>
      <c r="I78" s="24"/>
      <c r="J78" s="24"/>
      <c r="K78" s="24"/>
      <c r="L78" s="24"/>
      <c r="M78" s="24"/>
      <c r="N78" s="24"/>
      <c r="Q78" s="77" t="s">
        <v>731</v>
      </c>
      <c r="R78" s="76" t="s">
        <v>489</v>
      </c>
    </row>
    <row r="79" ht="15" spans="1:18">
      <c r="A79" s="24"/>
      <c r="B79" s="24"/>
      <c r="C79" s="24"/>
      <c r="D79" s="24"/>
      <c r="E79" s="24"/>
      <c r="F79" s="24"/>
      <c r="G79" s="24"/>
      <c r="H79" s="24"/>
      <c r="I79" s="24"/>
      <c r="J79" s="24"/>
      <c r="K79" s="24"/>
      <c r="L79" s="24"/>
      <c r="M79" s="24"/>
      <c r="N79" s="24"/>
      <c r="Q79" s="77"/>
      <c r="R79" s="78" t="s">
        <v>700</v>
      </c>
    </row>
    <row r="80" ht="15.75" customHeight="1" spans="1:18">
      <c r="A80" s="24"/>
      <c r="B80" s="24"/>
      <c r="C80" s="24"/>
      <c r="D80" s="24"/>
      <c r="E80" s="24"/>
      <c r="F80" s="24"/>
      <c r="G80" s="24"/>
      <c r="H80" s="24"/>
      <c r="I80" s="24"/>
      <c r="J80" s="24"/>
      <c r="K80" s="24"/>
      <c r="L80" s="24"/>
      <c r="M80" s="24"/>
      <c r="N80" s="24"/>
      <c r="Q80" s="77" t="s">
        <v>677</v>
      </c>
      <c r="R80" s="76" t="s">
        <v>553</v>
      </c>
    </row>
    <row r="81" ht="15" spans="1:18">
      <c r="A81" s="24"/>
      <c r="B81" s="24"/>
      <c r="C81" s="24"/>
      <c r="D81" s="24"/>
      <c r="E81" s="24"/>
      <c r="F81" s="24"/>
      <c r="G81" s="24"/>
      <c r="H81" s="24"/>
      <c r="I81" s="24"/>
      <c r="J81" s="24"/>
      <c r="K81" s="24"/>
      <c r="L81" s="24"/>
      <c r="M81" s="24"/>
      <c r="N81" s="24"/>
      <c r="Q81" s="77"/>
      <c r="R81" s="76" t="s">
        <v>761</v>
      </c>
    </row>
    <row r="82" ht="15" spans="1:18">
      <c r="A82" s="24"/>
      <c r="B82" s="24"/>
      <c r="C82" s="24"/>
      <c r="D82" s="24"/>
      <c r="E82" s="24"/>
      <c r="F82" s="24"/>
      <c r="G82" s="24"/>
      <c r="H82" s="24"/>
      <c r="I82" s="24"/>
      <c r="J82" s="24"/>
      <c r="K82" s="24"/>
      <c r="L82" s="24"/>
      <c r="M82" s="24"/>
      <c r="N82" s="24"/>
      <c r="Q82" s="77"/>
      <c r="R82" s="76" t="s">
        <v>762</v>
      </c>
    </row>
    <row r="83" ht="15" spans="1:18">
      <c r="A83" s="24"/>
      <c r="B83" s="24"/>
      <c r="C83" s="24"/>
      <c r="D83" s="24"/>
      <c r="E83" s="24"/>
      <c r="F83" s="24"/>
      <c r="G83" s="24"/>
      <c r="H83" s="24"/>
      <c r="I83" s="24"/>
      <c r="J83" s="24"/>
      <c r="K83" s="24"/>
      <c r="L83" s="24"/>
      <c r="M83" s="24"/>
      <c r="N83" s="24"/>
      <c r="Q83" s="77"/>
      <c r="R83" s="79" t="s">
        <v>720</v>
      </c>
    </row>
    <row r="84" ht="15" spans="1:18">
      <c r="A84" s="24"/>
      <c r="B84" s="24"/>
      <c r="C84" s="24"/>
      <c r="D84" s="24"/>
      <c r="E84" s="24"/>
      <c r="F84" s="24"/>
      <c r="G84" s="24"/>
      <c r="H84" s="24"/>
      <c r="I84" s="24"/>
      <c r="J84" s="24"/>
      <c r="K84" s="24"/>
      <c r="L84" s="24"/>
      <c r="M84" s="24"/>
      <c r="N84" s="24"/>
      <c r="Q84" s="77"/>
      <c r="R84" s="79" t="s">
        <v>725</v>
      </c>
    </row>
    <row r="85" ht="15" spans="1:18">
      <c r="A85" s="24"/>
      <c r="B85" s="24"/>
      <c r="C85" s="24"/>
      <c r="D85" s="24"/>
      <c r="E85" s="24"/>
      <c r="F85" s="24"/>
      <c r="G85" s="24"/>
      <c r="H85" s="24"/>
      <c r="I85" s="24"/>
      <c r="J85" s="24"/>
      <c r="K85" s="24"/>
      <c r="L85" s="24"/>
      <c r="M85" s="24"/>
      <c r="N85" s="24"/>
      <c r="Q85" s="77"/>
      <c r="R85" s="80" t="s">
        <v>729</v>
      </c>
    </row>
    <row r="86" spans="1:14">
      <c r="A86" s="24"/>
      <c r="B86" s="24"/>
      <c r="C86" s="24"/>
      <c r="D86" s="24"/>
      <c r="E86" s="24"/>
      <c r="F86" s="24"/>
      <c r="G86" s="24"/>
      <c r="H86" s="24"/>
      <c r="I86" s="24"/>
      <c r="J86" s="24"/>
      <c r="K86" s="24"/>
      <c r="L86" s="24"/>
      <c r="M86" s="24"/>
      <c r="N86" s="24"/>
    </row>
    <row r="87" spans="1:14">
      <c r="A87" s="24"/>
      <c r="B87" s="24"/>
      <c r="C87" s="24"/>
      <c r="D87" s="24"/>
      <c r="E87" s="24"/>
      <c r="F87" s="24"/>
      <c r="G87" s="24"/>
      <c r="H87" s="24"/>
      <c r="I87" s="24"/>
      <c r="J87" s="24"/>
      <c r="K87" s="24"/>
      <c r="L87" s="24"/>
      <c r="M87" s="24"/>
      <c r="N87" s="24"/>
    </row>
    <row r="88" spans="1:14">
      <c r="A88" s="24"/>
      <c r="B88" s="24"/>
      <c r="C88" s="24"/>
      <c r="D88" s="24"/>
      <c r="E88" s="24"/>
      <c r="F88" s="24"/>
      <c r="G88" s="24"/>
      <c r="H88" s="24"/>
      <c r="I88" s="24"/>
      <c r="J88" s="24"/>
      <c r="K88" s="24"/>
      <c r="L88" s="24"/>
      <c r="M88" s="24"/>
      <c r="N88" s="24"/>
    </row>
    <row r="89" spans="1:14">
      <c r="A89" s="24"/>
      <c r="B89" s="24"/>
      <c r="C89" s="24"/>
      <c r="D89" s="24"/>
      <c r="E89" s="24"/>
      <c r="F89" s="24"/>
      <c r="G89" s="24"/>
      <c r="H89" s="24"/>
      <c r="I89" s="24"/>
      <c r="J89" s="24"/>
      <c r="K89" s="24"/>
      <c r="L89" s="24"/>
      <c r="M89" s="24"/>
      <c r="N89" s="24"/>
    </row>
    <row r="93" spans="1:16">
      <c r="A93" s="82" t="s">
        <v>763</v>
      </c>
      <c r="B93" s="83"/>
      <c r="C93" s="83"/>
      <c r="D93" s="83"/>
      <c r="E93" s="83"/>
      <c r="F93" s="83"/>
      <c r="G93" s="83"/>
      <c r="H93" s="83"/>
      <c r="I93" s="83"/>
      <c r="J93" s="83"/>
      <c r="K93" s="83"/>
      <c r="L93" s="83"/>
      <c r="M93" s="83"/>
      <c r="N93" s="83"/>
      <c r="O93" s="83"/>
      <c r="P93" s="83"/>
    </row>
    <row r="94" spans="1:16">
      <c r="A94" s="83"/>
      <c r="B94" s="83"/>
      <c r="C94" s="83"/>
      <c r="D94" s="83"/>
      <c r="E94" s="83"/>
      <c r="F94" s="83"/>
      <c r="G94" s="83"/>
      <c r="H94" s="83"/>
      <c r="I94" s="83"/>
      <c r="J94" s="83"/>
      <c r="K94" s="83"/>
      <c r="L94" s="83"/>
      <c r="M94" s="83"/>
      <c r="N94" s="83"/>
      <c r="O94" s="83"/>
      <c r="P94" s="83"/>
    </row>
    <row r="95" spans="1:16">
      <c r="A95" s="83"/>
      <c r="B95" s="83"/>
      <c r="C95" s="83"/>
      <c r="D95" s="83"/>
      <c r="E95" s="83"/>
      <c r="F95" s="83"/>
      <c r="G95" s="83"/>
      <c r="H95" s="83"/>
      <c r="I95" s="83"/>
      <c r="J95" s="83"/>
      <c r="K95" s="83"/>
      <c r="L95" s="83"/>
      <c r="M95" s="83"/>
      <c r="N95" s="83"/>
      <c r="O95" s="83"/>
      <c r="P95" s="83"/>
    </row>
    <row r="96" spans="1:16">
      <c r="A96" s="83"/>
      <c r="B96" s="83"/>
      <c r="C96" s="83"/>
      <c r="D96" s="83"/>
      <c r="E96" s="83"/>
      <c r="F96" s="83"/>
      <c r="G96" s="83"/>
      <c r="H96" s="83"/>
      <c r="I96" s="83"/>
      <c r="J96" s="83"/>
      <c r="K96" s="83"/>
      <c r="L96" s="83"/>
      <c r="M96" s="83"/>
      <c r="N96" s="83"/>
      <c r="O96" s="83"/>
      <c r="P96" s="83"/>
    </row>
    <row r="97" spans="1:16">
      <c r="A97" s="83"/>
      <c r="B97" s="83"/>
      <c r="C97" s="83"/>
      <c r="D97" s="83"/>
      <c r="E97" s="83"/>
      <c r="F97" s="83"/>
      <c r="G97" s="83"/>
      <c r="H97" s="83"/>
      <c r="I97" s="83"/>
      <c r="J97" s="83"/>
      <c r="K97" s="83"/>
      <c r="L97" s="83"/>
      <c r="M97" s="83"/>
      <c r="N97" s="83"/>
      <c r="O97" s="83"/>
      <c r="P97" s="83"/>
    </row>
    <row r="98" spans="1:16">
      <c r="A98" s="83"/>
      <c r="B98" s="83"/>
      <c r="C98" s="83"/>
      <c r="D98" s="83"/>
      <c r="E98" s="83"/>
      <c r="F98" s="83"/>
      <c r="G98" s="83"/>
      <c r="H98" s="83"/>
      <c r="I98" s="83"/>
      <c r="J98" s="83"/>
      <c r="K98" s="83"/>
      <c r="L98" s="83"/>
      <c r="M98" s="83"/>
      <c r="N98" s="83"/>
      <c r="O98" s="83"/>
      <c r="P98" s="83"/>
    </row>
    <row r="99" spans="1:16">
      <c r="A99" s="83"/>
      <c r="B99" s="83"/>
      <c r="C99" s="83"/>
      <c r="D99" s="83"/>
      <c r="E99" s="83"/>
      <c r="F99" s="83"/>
      <c r="G99" s="83"/>
      <c r="H99" s="83"/>
      <c r="I99" s="83"/>
      <c r="J99" s="83"/>
      <c r="K99" s="83"/>
      <c r="L99" s="83"/>
      <c r="M99" s="83"/>
      <c r="N99" s="83"/>
      <c r="O99" s="83"/>
      <c r="P99" s="83"/>
    </row>
    <row r="100" spans="1:16">
      <c r="A100" s="83"/>
      <c r="B100" s="83"/>
      <c r="C100" s="83"/>
      <c r="D100" s="83"/>
      <c r="E100" s="83"/>
      <c r="F100" s="83"/>
      <c r="G100" s="83"/>
      <c r="H100" s="83"/>
      <c r="I100" s="83"/>
      <c r="J100" s="83"/>
      <c r="K100" s="83"/>
      <c r="L100" s="83"/>
      <c r="M100" s="83"/>
      <c r="N100" s="83"/>
      <c r="O100" s="83"/>
      <c r="P100" s="83"/>
    </row>
    <row r="101" spans="1:16">
      <c r="A101" s="83"/>
      <c r="B101" s="83"/>
      <c r="C101" s="83"/>
      <c r="D101" s="83"/>
      <c r="E101" s="83"/>
      <c r="F101" s="83"/>
      <c r="G101" s="83"/>
      <c r="H101" s="83"/>
      <c r="I101" s="83"/>
      <c r="J101" s="83"/>
      <c r="K101" s="83"/>
      <c r="L101" s="83"/>
      <c r="M101" s="83"/>
      <c r="N101" s="83"/>
      <c r="O101" s="83"/>
      <c r="P101" s="83"/>
    </row>
    <row r="102" spans="1:16">
      <c r="A102" s="83"/>
      <c r="B102" s="83"/>
      <c r="C102" s="83"/>
      <c r="D102" s="83"/>
      <c r="E102" s="83"/>
      <c r="F102" s="83"/>
      <c r="G102" s="83"/>
      <c r="H102" s="83"/>
      <c r="I102" s="83"/>
      <c r="J102" s="83"/>
      <c r="K102" s="83"/>
      <c r="L102" s="83"/>
      <c r="M102" s="83"/>
      <c r="N102" s="83"/>
      <c r="O102" s="83"/>
      <c r="P102" s="83"/>
    </row>
    <row r="103" spans="1:16">
      <c r="A103" s="83"/>
      <c r="B103" s="83"/>
      <c r="C103" s="83"/>
      <c r="D103" s="83"/>
      <c r="E103" s="83"/>
      <c r="F103" s="83"/>
      <c r="G103" s="83"/>
      <c r="H103" s="83"/>
      <c r="I103" s="83"/>
      <c r="J103" s="83"/>
      <c r="K103" s="83"/>
      <c r="L103" s="83"/>
      <c r="M103" s="83"/>
      <c r="N103" s="83"/>
      <c r="O103" s="83"/>
      <c r="P103" s="83"/>
    </row>
    <row r="104" spans="1:16">
      <c r="A104" s="83"/>
      <c r="B104" s="83"/>
      <c r="C104" s="83"/>
      <c r="D104" s="83"/>
      <c r="E104" s="83"/>
      <c r="F104" s="83"/>
      <c r="G104" s="83"/>
      <c r="H104" s="83"/>
      <c r="I104" s="83"/>
      <c r="J104" s="83"/>
      <c r="K104" s="83"/>
      <c r="L104" s="83"/>
      <c r="M104" s="83"/>
      <c r="N104" s="83"/>
      <c r="O104" s="83"/>
      <c r="P104" s="83"/>
    </row>
    <row r="105" spans="1:16">
      <c r="A105" s="83"/>
      <c r="B105" s="83"/>
      <c r="C105" s="83"/>
      <c r="D105" s="83"/>
      <c r="E105" s="83"/>
      <c r="F105" s="83"/>
      <c r="G105" s="83"/>
      <c r="H105" s="83"/>
      <c r="I105" s="83"/>
      <c r="J105" s="83"/>
      <c r="K105" s="83"/>
      <c r="L105" s="83"/>
      <c r="M105" s="83"/>
      <c r="N105" s="83"/>
      <c r="O105" s="83"/>
      <c r="P105" s="83"/>
    </row>
    <row r="106" spans="1:16">
      <c r="A106" s="83"/>
      <c r="B106" s="83"/>
      <c r="C106" s="83"/>
      <c r="D106" s="83"/>
      <c r="E106" s="83"/>
      <c r="F106" s="83"/>
      <c r="G106" s="83"/>
      <c r="H106" s="83"/>
      <c r="I106" s="83"/>
      <c r="J106" s="83"/>
      <c r="K106" s="83"/>
      <c r="L106" s="83"/>
      <c r="M106" s="83"/>
      <c r="N106" s="83"/>
      <c r="O106" s="83"/>
      <c r="P106" s="83"/>
    </row>
    <row r="107" spans="1:16">
      <c r="A107" s="83"/>
      <c r="B107" s="83"/>
      <c r="C107" s="83"/>
      <c r="D107" s="83"/>
      <c r="E107" s="83"/>
      <c r="F107" s="83"/>
      <c r="G107" s="83"/>
      <c r="H107" s="83"/>
      <c r="I107" s="83"/>
      <c r="J107" s="83"/>
      <c r="K107" s="83"/>
      <c r="L107" s="83"/>
      <c r="M107" s="83"/>
      <c r="N107" s="83"/>
      <c r="O107" s="83"/>
      <c r="P107" s="83"/>
    </row>
    <row r="108" spans="1:16">
      <c r="A108" s="83"/>
      <c r="B108" s="83"/>
      <c r="C108" s="83"/>
      <c r="D108" s="83"/>
      <c r="E108" s="83"/>
      <c r="F108" s="83"/>
      <c r="G108" s="83"/>
      <c r="H108" s="83"/>
      <c r="I108" s="83"/>
      <c r="J108" s="83"/>
      <c r="K108" s="83"/>
      <c r="L108" s="83"/>
      <c r="M108" s="83"/>
      <c r="N108" s="83"/>
      <c r="O108" s="83"/>
      <c r="P108" s="83"/>
    </row>
  </sheetData>
  <mergeCells count="85">
    <mergeCell ref="A1:B1"/>
    <mergeCell ref="E1:F1"/>
    <mergeCell ref="I1:J1"/>
    <mergeCell ref="C15:D15"/>
    <mergeCell ref="C16:D16"/>
    <mergeCell ref="C17:D17"/>
    <mergeCell ref="C18:D18"/>
    <mergeCell ref="A20:B20"/>
    <mergeCell ref="E20:F20"/>
    <mergeCell ref="I22:J22"/>
    <mergeCell ref="G27:H27"/>
    <mergeCell ref="G31:H31"/>
    <mergeCell ref="G32:H32"/>
    <mergeCell ref="G33:H33"/>
    <mergeCell ref="I42:J42"/>
    <mergeCell ref="E44:F44"/>
    <mergeCell ref="E48:F48"/>
    <mergeCell ref="E56:F56"/>
    <mergeCell ref="A3:A11"/>
    <mergeCell ref="A12:A13"/>
    <mergeCell ref="A14:A15"/>
    <mergeCell ref="A16:A18"/>
    <mergeCell ref="A21:A27"/>
    <mergeCell ref="A28:A30"/>
    <mergeCell ref="A31:A33"/>
    <mergeCell ref="A34:A38"/>
    <mergeCell ref="A39:A42"/>
    <mergeCell ref="A43:A46"/>
    <mergeCell ref="A47:A49"/>
    <mergeCell ref="E3:E4"/>
    <mergeCell ref="E5:E7"/>
    <mergeCell ref="E8:E10"/>
    <mergeCell ref="E11:E13"/>
    <mergeCell ref="E21:E25"/>
    <mergeCell ref="E26:E27"/>
    <mergeCell ref="E28:E30"/>
    <mergeCell ref="E31:E33"/>
    <mergeCell ref="E34:E36"/>
    <mergeCell ref="E37:E42"/>
    <mergeCell ref="E45:E46"/>
    <mergeCell ref="E49:E51"/>
    <mergeCell ref="E52:E54"/>
    <mergeCell ref="E57:E59"/>
    <mergeCell ref="E60:E62"/>
    <mergeCell ref="I3:I5"/>
    <mergeCell ref="I6:I8"/>
    <mergeCell ref="I9:I11"/>
    <mergeCell ref="I12:I14"/>
    <mergeCell ref="I15:I17"/>
    <mergeCell ref="I18:I20"/>
    <mergeCell ref="I23:I27"/>
    <mergeCell ref="I28:I29"/>
    <mergeCell ref="I30:I31"/>
    <mergeCell ref="I32:I34"/>
    <mergeCell ref="I35:I37"/>
    <mergeCell ref="I38:I40"/>
    <mergeCell ref="I43:I47"/>
    <mergeCell ref="I48:I52"/>
    <mergeCell ref="I53:I55"/>
    <mergeCell ref="I56:I61"/>
    <mergeCell ref="I62:I65"/>
    <mergeCell ref="I66:I69"/>
    <mergeCell ref="N15:N17"/>
    <mergeCell ref="O3:O5"/>
    <mergeCell ref="O7:O10"/>
    <mergeCell ref="O13:O22"/>
    <mergeCell ref="O23:O24"/>
    <mergeCell ref="O25:O27"/>
    <mergeCell ref="O28:O31"/>
    <mergeCell ref="O36:O37"/>
    <mergeCell ref="O40:O43"/>
    <mergeCell ref="O44:O46"/>
    <mergeCell ref="P36:P37"/>
    <mergeCell ref="Q2:Q7"/>
    <mergeCell ref="Q8:Q16"/>
    <mergeCell ref="Q17:Q22"/>
    <mergeCell ref="Q23:Q58"/>
    <mergeCell ref="Q59:Q68"/>
    <mergeCell ref="Q69:Q71"/>
    <mergeCell ref="Q72:Q75"/>
    <mergeCell ref="Q76:Q77"/>
    <mergeCell ref="Q78:Q79"/>
    <mergeCell ref="Q80:Q85"/>
    <mergeCell ref="A72:N89"/>
    <mergeCell ref="A93:P108"/>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52"/>
  <sheetViews>
    <sheetView zoomScale="85" zoomScaleNormal="85" topLeftCell="A4" workbookViewId="0">
      <selection activeCell="D36" sqref="D36"/>
    </sheetView>
  </sheetViews>
  <sheetFormatPr defaultColWidth="11.25" defaultRowHeight="13.5"/>
  <cols>
    <col min="1" max="1" width="16.25" customWidth="1"/>
    <col min="2" max="16384" width="11.25" customWidth="1"/>
  </cols>
  <sheetData>
    <row r="2" spans="1:1">
      <c r="A2" t="s">
        <v>764</v>
      </c>
    </row>
    <row r="3" ht="15" customHeight="1" spans="1:10">
      <c r="A3" t="s">
        <v>765</v>
      </c>
      <c r="B3">
        <v>0</v>
      </c>
      <c r="C3">
        <v>1</v>
      </c>
      <c r="D3">
        <v>2</v>
      </c>
      <c r="E3">
        <v>3</v>
      </c>
      <c r="F3">
        <v>4</v>
      </c>
      <c r="G3">
        <v>5</v>
      </c>
      <c r="H3">
        <v>6</v>
      </c>
      <c r="I3">
        <v>7</v>
      </c>
      <c r="J3">
        <v>8</v>
      </c>
    </row>
    <row r="4" spans="1:10">
      <c r="A4" t="s">
        <v>766</v>
      </c>
      <c r="B4">
        <v>3</v>
      </c>
      <c r="C4">
        <f>$B$4*(C3+1)</f>
        <v>6</v>
      </c>
      <c r="D4">
        <f t="shared" ref="D4:J4" si="0">$B$4*(D3+1)</f>
        <v>9</v>
      </c>
      <c r="E4">
        <f t="shared" si="0"/>
        <v>12</v>
      </c>
      <c r="F4">
        <f t="shared" si="0"/>
        <v>15</v>
      </c>
      <c r="G4">
        <f t="shared" si="0"/>
        <v>18</v>
      </c>
      <c r="H4">
        <f t="shared" si="0"/>
        <v>21</v>
      </c>
      <c r="I4">
        <f t="shared" si="0"/>
        <v>24</v>
      </c>
      <c r="J4">
        <f t="shared" si="0"/>
        <v>27</v>
      </c>
    </row>
    <row r="5" spans="1:10">
      <c r="A5" t="s">
        <v>767</v>
      </c>
      <c r="B5">
        <f>B4*2</f>
        <v>6</v>
      </c>
      <c r="C5">
        <f>C4*2</f>
        <v>12</v>
      </c>
      <c r="D5">
        <f>D4*2</f>
        <v>18</v>
      </c>
      <c r="E5">
        <f t="shared" ref="E5:J5" si="1">E4*2</f>
        <v>24</v>
      </c>
      <c r="F5">
        <f t="shared" si="1"/>
        <v>30</v>
      </c>
      <c r="G5">
        <f t="shared" si="1"/>
        <v>36</v>
      </c>
      <c r="H5">
        <f t="shared" si="1"/>
        <v>42</v>
      </c>
      <c r="I5">
        <f t="shared" si="1"/>
        <v>48</v>
      </c>
      <c r="J5">
        <f t="shared" si="1"/>
        <v>54</v>
      </c>
    </row>
    <row r="6" spans="1:10">
      <c r="A6" t="s">
        <v>768</v>
      </c>
      <c r="B6">
        <f>B4*3</f>
        <v>9</v>
      </c>
      <c r="C6">
        <f t="shared" ref="C6:J6" si="2">C4*3</f>
        <v>18</v>
      </c>
      <c r="D6">
        <f t="shared" si="2"/>
        <v>27</v>
      </c>
      <c r="E6">
        <f t="shared" si="2"/>
        <v>36</v>
      </c>
      <c r="F6">
        <f t="shared" si="2"/>
        <v>45</v>
      </c>
      <c r="G6">
        <f t="shared" si="2"/>
        <v>54</v>
      </c>
      <c r="H6">
        <f t="shared" si="2"/>
        <v>63</v>
      </c>
      <c r="I6">
        <f t="shared" si="2"/>
        <v>72</v>
      </c>
      <c r="J6">
        <f t="shared" si="2"/>
        <v>81</v>
      </c>
    </row>
    <row r="7" ht="15" customHeight="1" spans="1:10">
      <c r="A7" t="s">
        <v>769</v>
      </c>
      <c r="B7">
        <f>B4*4</f>
        <v>12</v>
      </c>
      <c r="C7">
        <f t="shared" ref="C7:J7" si="3">C4*4</f>
        <v>24</v>
      </c>
      <c r="D7">
        <f t="shared" si="3"/>
        <v>36</v>
      </c>
      <c r="E7">
        <f t="shared" si="3"/>
        <v>48</v>
      </c>
      <c r="F7">
        <f t="shared" si="3"/>
        <v>60</v>
      </c>
      <c r="G7">
        <f t="shared" si="3"/>
        <v>72</v>
      </c>
      <c r="H7">
        <f t="shared" si="3"/>
        <v>84</v>
      </c>
      <c r="I7">
        <f t="shared" si="3"/>
        <v>96</v>
      </c>
      <c r="J7">
        <f t="shared" si="3"/>
        <v>108</v>
      </c>
    </row>
    <row r="8" spans="1:10">
      <c r="A8" t="s">
        <v>770</v>
      </c>
      <c r="B8">
        <f>B4*5</f>
        <v>15</v>
      </c>
      <c r="C8">
        <f t="shared" ref="C8:J8" si="4">C4*5</f>
        <v>30</v>
      </c>
      <c r="D8">
        <f t="shared" si="4"/>
        <v>45</v>
      </c>
      <c r="E8">
        <f t="shared" si="4"/>
        <v>60</v>
      </c>
      <c r="F8">
        <f t="shared" si="4"/>
        <v>75</v>
      </c>
      <c r="G8">
        <f t="shared" si="4"/>
        <v>90</v>
      </c>
      <c r="H8">
        <f t="shared" si="4"/>
        <v>105</v>
      </c>
      <c r="I8">
        <f t="shared" si="4"/>
        <v>120</v>
      </c>
      <c r="J8">
        <f t="shared" si="4"/>
        <v>135</v>
      </c>
    </row>
    <row r="9" spans="1:10">
      <c r="A9" t="s">
        <v>771</v>
      </c>
      <c r="B9">
        <f>SUM(B4:B8)</f>
        <v>45</v>
      </c>
      <c r="C9">
        <f t="shared" ref="C9:J9" si="5">SUM(C4:C8)</f>
        <v>90</v>
      </c>
      <c r="D9">
        <f t="shared" si="5"/>
        <v>135</v>
      </c>
      <c r="E9">
        <f t="shared" si="5"/>
        <v>180</v>
      </c>
      <c r="F9">
        <f t="shared" si="5"/>
        <v>225</v>
      </c>
      <c r="G9">
        <f t="shared" si="5"/>
        <v>270</v>
      </c>
      <c r="H9">
        <f t="shared" si="5"/>
        <v>315</v>
      </c>
      <c r="I9">
        <f t="shared" si="5"/>
        <v>360</v>
      </c>
      <c r="J9">
        <f t="shared" si="5"/>
        <v>405</v>
      </c>
    </row>
    <row r="11" spans="1:1">
      <c r="A11" t="s">
        <v>772</v>
      </c>
    </row>
    <row r="12" spans="1:10">
      <c r="A12" t="s">
        <v>765</v>
      </c>
      <c r="B12">
        <v>0</v>
      </c>
      <c r="C12">
        <v>1</v>
      </c>
      <c r="D12">
        <v>2</v>
      </c>
      <c r="E12">
        <v>3</v>
      </c>
      <c r="F12">
        <v>4</v>
      </c>
      <c r="G12">
        <v>5</v>
      </c>
      <c r="H12">
        <v>6</v>
      </c>
      <c r="I12">
        <v>7</v>
      </c>
      <c r="J12">
        <v>8</v>
      </c>
    </row>
    <row r="13" spans="1:10">
      <c r="A13" t="s">
        <v>766</v>
      </c>
      <c r="B13">
        <v>5</v>
      </c>
      <c r="C13">
        <f>$B$13*(C12+1)</f>
        <v>10</v>
      </c>
      <c r="D13">
        <f t="shared" ref="D13:J13" si="6">$B$13*(D12+1)</f>
        <v>15</v>
      </c>
      <c r="E13">
        <f t="shared" si="6"/>
        <v>20</v>
      </c>
      <c r="F13">
        <f t="shared" si="6"/>
        <v>25</v>
      </c>
      <c r="G13">
        <f t="shared" si="6"/>
        <v>30</v>
      </c>
      <c r="H13">
        <f t="shared" si="6"/>
        <v>35</v>
      </c>
      <c r="I13">
        <f t="shared" si="6"/>
        <v>40</v>
      </c>
      <c r="J13">
        <f t="shared" si="6"/>
        <v>45</v>
      </c>
    </row>
    <row r="14" ht="15" customHeight="1" spans="1:10">
      <c r="A14" t="s">
        <v>767</v>
      </c>
      <c r="B14">
        <f t="shared" ref="B14:J14" si="7">B13*2</f>
        <v>10</v>
      </c>
      <c r="C14">
        <f t="shared" si="7"/>
        <v>20</v>
      </c>
      <c r="D14">
        <f t="shared" si="7"/>
        <v>30</v>
      </c>
      <c r="E14">
        <f t="shared" si="7"/>
        <v>40</v>
      </c>
      <c r="F14">
        <f t="shared" si="7"/>
        <v>50</v>
      </c>
      <c r="G14">
        <f t="shared" si="7"/>
        <v>60</v>
      </c>
      <c r="H14">
        <f t="shared" si="7"/>
        <v>70</v>
      </c>
      <c r="I14">
        <f t="shared" si="7"/>
        <v>80</v>
      </c>
      <c r="J14">
        <f t="shared" si="7"/>
        <v>90</v>
      </c>
    </row>
    <row r="15" spans="1:10">
      <c r="A15" t="s">
        <v>768</v>
      </c>
      <c r="B15">
        <f t="shared" ref="B15:J15" si="8">B13*3</f>
        <v>15</v>
      </c>
      <c r="C15">
        <f t="shared" si="8"/>
        <v>30</v>
      </c>
      <c r="D15">
        <f t="shared" si="8"/>
        <v>45</v>
      </c>
      <c r="E15">
        <f t="shared" si="8"/>
        <v>60</v>
      </c>
      <c r="F15">
        <f t="shared" si="8"/>
        <v>75</v>
      </c>
      <c r="G15">
        <f t="shared" si="8"/>
        <v>90</v>
      </c>
      <c r="H15">
        <f t="shared" si="8"/>
        <v>105</v>
      </c>
      <c r="I15">
        <f t="shared" si="8"/>
        <v>120</v>
      </c>
      <c r="J15">
        <f t="shared" si="8"/>
        <v>135</v>
      </c>
    </row>
    <row r="16" spans="1:10">
      <c r="A16" t="s">
        <v>769</v>
      </c>
      <c r="B16">
        <f t="shared" ref="B16:J16" si="9">B13*4</f>
        <v>20</v>
      </c>
      <c r="C16">
        <f t="shared" si="9"/>
        <v>40</v>
      </c>
      <c r="D16">
        <f t="shared" si="9"/>
        <v>60</v>
      </c>
      <c r="E16">
        <f t="shared" si="9"/>
        <v>80</v>
      </c>
      <c r="F16">
        <f t="shared" si="9"/>
        <v>100</v>
      </c>
      <c r="G16">
        <f t="shared" si="9"/>
        <v>120</v>
      </c>
      <c r="H16">
        <f t="shared" si="9"/>
        <v>140</v>
      </c>
      <c r="I16">
        <f t="shared" si="9"/>
        <v>160</v>
      </c>
      <c r="J16">
        <f t="shared" si="9"/>
        <v>180</v>
      </c>
    </row>
    <row r="17" spans="1:10">
      <c r="A17" t="s">
        <v>770</v>
      </c>
      <c r="B17">
        <f t="shared" ref="B17:J17" si="10">B13*5</f>
        <v>25</v>
      </c>
      <c r="C17">
        <f t="shared" si="10"/>
        <v>50</v>
      </c>
      <c r="D17">
        <f t="shared" si="10"/>
        <v>75</v>
      </c>
      <c r="E17">
        <f t="shared" si="10"/>
        <v>100</v>
      </c>
      <c r="F17">
        <f t="shared" si="10"/>
        <v>125</v>
      </c>
      <c r="G17">
        <f t="shared" si="10"/>
        <v>150</v>
      </c>
      <c r="H17">
        <f t="shared" si="10"/>
        <v>175</v>
      </c>
      <c r="I17">
        <f t="shared" si="10"/>
        <v>200</v>
      </c>
      <c r="J17">
        <f t="shared" si="10"/>
        <v>225</v>
      </c>
    </row>
    <row r="18" customFormat="1" spans="1:10">
      <c r="A18" t="s">
        <v>771</v>
      </c>
      <c r="B18">
        <f t="shared" ref="B18:J18" si="11">SUM(B13:B17)</f>
        <v>75</v>
      </c>
      <c r="C18">
        <f t="shared" si="11"/>
        <v>150</v>
      </c>
      <c r="D18">
        <f t="shared" si="11"/>
        <v>225</v>
      </c>
      <c r="E18">
        <f t="shared" si="11"/>
        <v>300</v>
      </c>
      <c r="F18">
        <f t="shared" si="11"/>
        <v>375</v>
      </c>
      <c r="G18">
        <f t="shared" si="11"/>
        <v>450</v>
      </c>
      <c r="H18">
        <f t="shared" si="11"/>
        <v>525</v>
      </c>
      <c r="I18">
        <f t="shared" si="11"/>
        <v>600</v>
      </c>
      <c r="J18">
        <f t="shared" si="11"/>
        <v>675</v>
      </c>
    </row>
    <row r="19" customFormat="1"/>
    <row r="20" spans="1:1">
      <c r="A20" t="s">
        <v>773</v>
      </c>
    </row>
    <row r="21" spans="1:10">
      <c r="A21" t="s">
        <v>765</v>
      </c>
      <c r="B21">
        <v>0</v>
      </c>
      <c r="C21">
        <v>1</v>
      </c>
      <c r="D21">
        <v>2</v>
      </c>
      <c r="E21">
        <v>3</v>
      </c>
      <c r="F21">
        <v>4</v>
      </c>
      <c r="G21">
        <v>5</v>
      </c>
      <c r="H21">
        <v>6</v>
      </c>
      <c r="I21">
        <v>7</v>
      </c>
      <c r="J21">
        <v>8</v>
      </c>
    </row>
    <row r="22" spans="1:10">
      <c r="A22" t="s">
        <v>766</v>
      </c>
      <c r="B22">
        <v>6</v>
      </c>
      <c r="C22">
        <f>$B$22*(C21+1)</f>
        <v>12</v>
      </c>
      <c r="D22">
        <f t="shared" ref="D22:J22" si="12">$B$22*(D21+1)</f>
        <v>18</v>
      </c>
      <c r="E22">
        <f t="shared" si="12"/>
        <v>24</v>
      </c>
      <c r="F22">
        <f t="shared" si="12"/>
        <v>30</v>
      </c>
      <c r="G22">
        <f t="shared" si="12"/>
        <v>36</v>
      </c>
      <c r="H22">
        <f t="shared" si="12"/>
        <v>42</v>
      </c>
      <c r="I22">
        <f t="shared" si="12"/>
        <v>48</v>
      </c>
      <c r="J22">
        <f t="shared" si="12"/>
        <v>54</v>
      </c>
    </row>
    <row r="23" spans="1:10">
      <c r="A23" t="s">
        <v>767</v>
      </c>
      <c r="B23">
        <f t="shared" ref="B23:J23" si="13">B22*2</f>
        <v>12</v>
      </c>
      <c r="C23">
        <f t="shared" si="13"/>
        <v>24</v>
      </c>
      <c r="D23">
        <f t="shared" si="13"/>
        <v>36</v>
      </c>
      <c r="E23">
        <f t="shared" si="13"/>
        <v>48</v>
      </c>
      <c r="F23">
        <f t="shared" si="13"/>
        <v>60</v>
      </c>
      <c r="G23">
        <f t="shared" si="13"/>
        <v>72</v>
      </c>
      <c r="H23">
        <f t="shared" si="13"/>
        <v>84</v>
      </c>
      <c r="I23">
        <f t="shared" si="13"/>
        <v>96</v>
      </c>
      <c r="J23">
        <f t="shared" si="13"/>
        <v>108</v>
      </c>
    </row>
    <row r="24" spans="1:10">
      <c r="A24" t="s">
        <v>768</v>
      </c>
      <c r="B24">
        <f t="shared" ref="B24:J24" si="14">B22*3</f>
        <v>18</v>
      </c>
      <c r="C24">
        <f t="shared" si="14"/>
        <v>36</v>
      </c>
      <c r="D24">
        <f t="shared" si="14"/>
        <v>54</v>
      </c>
      <c r="E24">
        <f t="shared" si="14"/>
        <v>72</v>
      </c>
      <c r="F24">
        <f t="shared" si="14"/>
        <v>90</v>
      </c>
      <c r="G24">
        <f t="shared" si="14"/>
        <v>108</v>
      </c>
      <c r="H24">
        <f t="shared" si="14"/>
        <v>126</v>
      </c>
      <c r="I24">
        <f t="shared" si="14"/>
        <v>144</v>
      </c>
      <c r="J24">
        <f t="shared" si="14"/>
        <v>162</v>
      </c>
    </row>
    <row r="25" ht="15" customHeight="1" spans="1:10">
      <c r="A25" t="s">
        <v>769</v>
      </c>
      <c r="B25">
        <f t="shared" ref="B25:J25" si="15">B22*4</f>
        <v>24</v>
      </c>
      <c r="C25">
        <f t="shared" si="15"/>
        <v>48</v>
      </c>
      <c r="D25">
        <f t="shared" si="15"/>
        <v>72</v>
      </c>
      <c r="E25">
        <f t="shared" si="15"/>
        <v>96</v>
      </c>
      <c r="F25">
        <f t="shared" si="15"/>
        <v>120</v>
      </c>
      <c r="G25">
        <f t="shared" si="15"/>
        <v>144</v>
      </c>
      <c r="H25">
        <f t="shared" si="15"/>
        <v>168</v>
      </c>
      <c r="I25">
        <f t="shared" si="15"/>
        <v>192</v>
      </c>
      <c r="J25">
        <f t="shared" si="15"/>
        <v>216</v>
      </c>
    </row>
    <row r="26" spans="1:10">
      <c r="A26" t="s">
        <v>770</v>
      </c>
      <c r="B26">
        <f t="shared" ref="B26:J26" si="16">B22*5</f>
        <v>30</v>
      </c>
      <c r="C26">
        <f t="shared" si="16"/>
        <v>60</v>
      </c>
      <c r="D26">
        <f t="shared" si="16"/>
        <v>90</v>
      </c>
      <c r="E26">
        <f t="shared" si="16"/>
        <v>120</v>
      </c>
      <c r="F26">
        <f t="shared" si="16"/>
        <v>150</v>
      </c>
      <c r="G26">
        <f t="shared" si="16"/>
        <v>180</v>
      </c>
      <c r="H26">
        <f t="shared" si="16"/>
        <v>210</v>
      </c>
      <c r="I26">
        <f t="shared" si="16"/>
        <v>240</v>
      </c>
      <c r="J26">
        <f t="shared" si="16"/>
        <v>270</v>
      </c>
    </row>
    <row r="27" customFormat="1" spans="1:10">
      <c r="A27" t="s">
        <v>771</v>
      </c>
      <c r="B27">
        <f t="shared" ref="B27:J27" si="17">SUM(B22:B26)</f>
        <v>90</v>
      </c>
      <c r="C27">
        <f t="shared" si="17"/>
        <v>180</v>
      </c>
      <c r="D27">
        <f t="shared" si="17"/>
        <v>270</v>
      </c>
      <c r="E27">
        <f t="shared" si="17"/>
        <v>360</v>
      </c>
      <c r="F27">
        <f t="shared" si="17"/>
        <v>450</v>
      </c>
      <c r="G27">
        <f t="shared" si="17"/>
        <v>540</v>
      </c>
      <c r="H27">
        <f t="shared" si="17"/>
        <v>630</v>
      </c>
      <c r="I27">
        <f t="shared" si="17"/>
        <v>720</v>
      </c>
      <c r="J27">
        <f t="shared" si="17"/>
        <v>810</v>
      </c>
    </row>
    <row r="28" customFormat="1"/>
    <row r="29" spans="1:1">
      <c r="A29" t="s">
        <v>774</v>
      </c>
    </row>
    <row r="30" spans="1:10">
      <c r="A30" t="s">
        <v>765</v>
      </c>
      <c r="B30">
        <v>0</v>
      </c>
      <c r="C30">
        <v>1</v>
      </c>
      <c r="D30">
        <v>2</v>
      </c>
      <c r="E30">
        <v>3</v>
      </c>
      <c r="F30">
        <v>4</v>
      </c>
      <c r="G30">
        <v>5</v>
      </c>
      <c r="H30">
        <v>6</v>
      </c>
      <c r="I30">
        <v>7</v>
      </c>
      <c r="J30">
        <v>8</v>
      </c>
    </row>
    <row r="31" ht="15" customHeight="1" spans="1:10">
      <c r="A31" t="s">
        <v>766</v>
      </c>
      <c r="B31">
        <v>7</v>
      </c>
      <c r="C31">
        <f>$B$31*(C30+1)</f>
        <v>14</v>
      </c>
      <c r="D31">
        <f t="shared" ref="D31:J31" si="18">$B$31*(D30+1)</f>
        <v>21</v>
      </c>
      <c r="E31">
        <f t="shared" si="18"/>
        <v>28</v>
      </c>
      <c r="F31">
        <f t="shared" si="18"/>
        <v>35</v>
      </c>
      <c r="G31">
        <f t="shared" si="18"/>
        <v>42</v>
      </c>
      <c r="H31">
        <f t="shared" si="18"/>
        <v>49</v>
      </c>
      <c r="I31">
        <f t="shared" si="18"/>
        <v>56</v>
      </c>
      <c r="J31">
        <f t="shared" si="18"/>
        <v>63</v>
      </c>
    </row>
    <row r="32" spans="1:10">
      <c r="A32" t="s">
        <v>767</v>
      </c>
      <c r="B32">
        <f t="shared" ref="B32:J32" si="19">B31*2</f>
        <v>14</v>
      </c>
      <c r="C32">
        <f t="shared" si="19"/>
        <v>28</v>
      </c>
      <c r="D32">
        <f t="shared" si="19"/>
        <v>42</v>
      </c>
      <c r="E32">
        <f t="shared" si="19"/>
        <v>56</v>
      </c>
      <c r="F32">
        <f t="shared" si="19"/>
        <v>70</v>
      </c>
      <c r="G32">
        <f t="shared" si="19"/>
        <v>84</v>
      </c>
      <c r="H32">
        <f t="shared" si="19"/>
        <v>98</v>
      </c>
      <c r="I32">
        <f t="shared" si="19"/>
        <v>112</v>
      </c>
      <c r="J32">
        <f t="shared" si="19"/>
        <v>126</v>
      </c>
    </row>
    <row r="33" spans="1:10">
      <c r="A33" t="s">
        <v>768</v>
      </c>
      <c r="B33">
        <f t="shared" ref="B33:J33" si="20">B31*3</f>
        <v>21</v>
      </c>
      <c r="C33">
        <f t="shared" si="20"/>
        <v>42</v>
      </c>
      <c r="D33">
        <f t="shared" si="20"/>
        <v>63</v>
      </c>
      <c r="E33">
        <f t="shared" si="20"/>
        <v>84</v>
      </c>
      <c r="F33">
        <f t="shared" si="20"/>
        <v>105</v>
      </c>
      <c r="G33">
        <f t="shared" si="20"/>
        <v>126</v>
      </c>
      <c r="H33">
        <f t="shared" si="20"/>
        <v>147</v>
      </c>
      <c r="I33">
        <f t="shared" si="20"/>
        <v>168</v>
      </c>
      <c r="J33">
        <f t="shared" si="20"/>
        <v>189</v>
      </c>
    </row>
    <row r="34" spans="1:10">
      <c r="A34" t="s">
        <v>769</v>
      </c>
      <c r="B34">
        <f t="shared" ref="B34:J34" si="21">B31*4</f>
        <v>28</v>
      </c>
      <c r="C34">
        <f t="shared" si="21"/>
        <v>56</v>
      </c>
      <c r="D34">
        <f t="shared" si="21"/>
        <v>84</v>
      </c>
      <c r="E34">
        <f t="shared" si="21"/>
        <v>112</v>
      </c>
      <c r="F34">
        <f t="shared" si="21"/>
        <v>140</v>
      </c>
      <c r="G34">
        <f t="shared" si="21"/>
        <v>168</v>
      </c>
      <c r="H34">
        <f t="shared" si="21"/>
        <v>196</v>
      </c>
      <c r="I34">
        <f t="shared" si="21"/>
        <v>224</v>
      </c>
      <c r="J34">
        <f t="shared" si="21"/>
        <v>252</v>
      </c>
    </row>
    <row r="35" spans="1:10">
      <c r="A35" t="s">
        <v>770</v>
      </c>
      <c r="B35">
        <f t="shared" ref="B35:J35" si="22">B31*5</f>
        <v>35</v>
      </c>
      <c r="C35">
        <f t="shared" si="22"/>
        <v>70</v>
      </c>
      <c r="D35">
        <f t="shared" si="22"/>
        <v>105</v>
      </c>
      <c r="E35">
        <f t="shared" si="22"/>
        <v>140</v>
      </c>
      <c r="F35">
        <f t="shared" si="22"/>
        <v>175</v>
      </c>
      <c r="G35">
        <f t="shared" si="22"/>
        <v>210</v>
      </c>
      <c r="H35">
        <f t="shared" si="22"/>
        <v>245</v>
      </c>
      <c r="I35">
        <f t="shared" si="22"/>
        <v>280</v>
      </c>
      <c r="J35">
        <f t="shared" si="22"/>
        <v>315</v>
      </c>
    </row>
    <row r="36" customFormat="1" spans="1:10">
      <c r="A36" t="s">
        <v>771</v>
      </c>
      <c r="B36">
        <f t="shared" ref="B36:J36" si="23">SUM(B31:B35)</f>
        <v>105</v>
      </c>
      <c r="C36">
        <f t="shared" si="23"/>
        <v>210</v>
      </c>
      <c r="D36">
        <f t="shared" si="23"/>
        <v>315</v>
      </c>
      <c r="E36">
        <f t="shared" si="23"/>
        <v>420</v>
      </c>
      <c r="F36">
        <f t="shared" si="23"/>
        <v>525</v>
      </c>
      <c r="G36">
        <f t="shared" si="23"/>
        <v>630</v>
      </c>
      <c r="H36">
        <f t="shared" si="23"/>
        <v>735</v>
      </c>
      <c r="I36">
        <f t="shared" si="23"/>
        <v>840</v>
      </c>
      <c r="J36">
        <f t="shared" si="23"/>
        <v>945</v>
      </c>
    </row>
    <row r="37" customFormat="1"/>
    <row r="38" spans="1:1">
      <c r="A38" t="s">
        <v>775</v>
      </c>
    </row>
    <row r="39" spans="1:10">
      <c r="A39" t="s">
        <v>765</v>
      </c>
      <c r="B39">
        <v>0</v>
      </c>
      <c r="C39">
        <v>1</v>
      </c>
      <c r="D39">
        <v>2</v>
      </c>
      <c r="E39">
        <v>3</v>
      </c>
      <c r="F39">
        <v>4</v>
      </c>
      <c r="G39">
        <v>5</v>
      </c>
      <c r="H39">
        <v>6</v>
      </c>
      <c r="I39">
        <v>7</v>
      </c>
      <c r="J39">
        <v>8</v>
      </c>
    </row>
    <row r="40" ht="15" customHeight="1" spans="1:10">
      <c r="A40" t="s">
        <v>766</v>
      </c>
      <c r="B40">
        <v>7</v>
      </c>
      <c r="C40">
        <f>$B$40*(C39+1)</f>
        <v>14</v>
      </c>
      <c r="D40">
        <f t="shared" ref="D40:J40" si="24">$B$40*(D39+1)</f>
        <v>21</v>
      </c>
      <c r="E40">
        <f t="shared" si="24"/>
        <v>28</v>
      </c>
      <c r="F40">
        <f t="shared" si="24"/>
        <v>35</v>
      </c>
      <c r="G40">
        <f t="shared" si="24"/>
        <v>42</v>
      </c>
      <c r="H40">
        <f t="shared" si="24"/>
        <v>49</v>
      </c>
      <c r="I40">
        <f t="shared" si="24"/>
        <v>56</v>
      </c>
      <c r="J40">
        <f t="shared" si="24"/>
        <v>63</v>
      </c>
    </row>
    <row r="41" spans="1:10">
      <c r="A41" t="s">
        <v>767</v>
      </c>
      <c r="B41">
        <f t="shared" ref="B41:J41" si="25">B40*2</f>
        <v>14</v>
      </c>
      <c r="C41">
        <f t="shared" si="25"/>
        <v>28</v>
      </c>
      <c r="D41">
        <f t="shared" si="25"/>
        <v>42</v>
      </c>
      <c r="E41">
        <f t="shared" si="25"/>
        <v>56</v>
      </c>
      <c r="F41">
        <f t="shared" si="25"/>
        <v>70</v>
      </c>
      <c r="G41">
        <f t="shared" si="25"/>
        <v>84</v>
      </c>
      <c r="H41">
        <f t="shared" si="25"/>
        <v>98</v>
      </c>
      <c r="I41">
        <f t="shared" si="25"/>
        <v>112</v>
      </c>
      <c r="J41">
        <f t="shared" si="25"/>
        <v>126</v>
      </c>
    </row>
    <row r="42" spans="1:10">
      <c r="A42" t="s">
        <v>768</v>
      </c>
      <c r="B42">
        <f t="shared" ref="B42:J42" si="26">B40*3</f>
        <v>21</v>
      </c>
      <c r="C42">
        <f t="shared" si="26"/>
        <v>42</v>
      </c>
      <c r="D42">
        <f t="shared" si="26"/>
        <v>63</v>
      </c>
      <c r="E42">
        <f t="shared" si="26"/>
        <v>84</v>
      </c>
      <c r="F42">
        <f t="shared" si="26"/>
        <v>105</v>
      </c>
      <c r="G42">
        <f t="shared" si="26"/>
        <v>126</v>
      </c>
      <c r="H42">
        <f t="shared" si="26"/>
        <v>147</v>
      </c>
      <c r="I42">
        <f t="shared" si="26"/>
        <v>168</v>
      </c>
      <c r="J42">
        <f t="shared" si="26"/>
        <v>189</v>
      </c>
    </row>
    <row r="43" spans="1:10">
      <c r="A43" t="s">
        <v>769</v>
      </c>
      <c r="B43">
        <f t="shared" ref="B43:J43" si="27">B40*4</f>
        <v>28</v>
      </c>
      <c r="C43">
        <f t="shared" si="27"/>
        <v>56</v>
      </c>
      <c r="D43">
        <f t="shared" si="27"/>
        <v>84</v>
      </c>
      <c r="E43">
        <f t="shared" si="27"/>
        <v>112</v>
      </c>
      <c r="F43">
        <f t="shared" si="27"/>
        <v>140</v>
      </c>
      <c r="G43">
        <f t="shared" si="27"/>
        <v>168</v>
      </c>
      <c r="H43">
        <f t="shared" si="27"/>
        <v>196</v>
      </c>
      <c r="I43">
        <f t="shared" si="27"/>
        <v>224</v>
      </c>
      <c r="J43">
        <f t="shared" si="27"/>
        <v>252</v>
      </c>
    </row>
    <row r="44" ht="15" customHeight="1" spans="1:10">
      <c r="A44" t="s">
        <v>770</v>
      </c>
      <c r="B44">
        <f t="shared" ref="B44:J44" si="28">B40*5</f>
        <v>35</v>
      </c>
      <c r="C44">
        <f t="shared" si="28"/>
        <v>70</v>
      </c>
      <c r="D44">
        <f t="shared" si="28"/>
        <v>105</v>
      </c>
      <c r="E44">
        <f t="shared" si="28"/>
        <v>140</v>
      </c>
      <c r="F44">
        <f t="shared" si="28"/>
        <v>175</v>
      </c>
      <c r="G44">
        <f t="shared" si="28"/>
        <v>210</v>
      </c>
      <c r="H44">
        <f t="shared" si="28"/>
        <v>245</v>
      </c>
      <c r="I44">
        <f t="shared" si="28"/>
        <v>280</v>
      </c>
      <c r="J44">
        <f t="shared" si="28"/>
        <v>315</v>
      </c>
    </row>
    <row r="45" customFormat="1" spans="1:10">
      <c r="A45" t="s">
        <v>771</v>
      </c>
      <c r="B45">
        <f t="shared" ref="B45:J45" si="29">SUM(B40:B44)</f>
        <v>105</v>
      </c>
      <c r="C45">
        <f t="shared" si="29"/>
        <v>210</v>
      </c>
      <c r="D45">
        <f t="shared" si="29"/>
        <v>315</v>
      </c>
      <c r="E45">
        <f t="shared" si="29"/>
        <v>420</v>
      </c>
      <c r="F45">
        <f t="shared" si="29"/>
        <v>525</v>
      </c>
      <c r="G45">
        <f t="shared" si="29"/>
        <v>630</v>
      </c>
      <c r="H45">
        <f t="shared" si="29"/>
        <v>735</v>
      </c>
      <c r="I45">
        <f t="shared" si="29"/>
        <v>840</v>
      </c>
      <c r="J45">
        <f t="shared" si="29"/>
        <v>945</v>
      </c>
    </row>
    <row r="48" ht="15" customHeight="1" spans="1:10">
      <c r="A48" s="15" t="s">
        <v>776</v>
      </c>
      <c r="B48" s="15"/>
      <c r="C48" s="15"/>
      <c r="D48" s="15"/>
      <c r="E48" s="15"/>
      <c r="F48" s="15"/>
      <c r="G48" s="15"/>
      <c r="H48" s="15"/>
      <c r="I48" s="15"/>
      <c r="J48" s="15"/>
    </row>
    <row r="49" spans="1:10">
      <c r="A49" s="15"/>
      <c r="B49" s="15"/>
      <c r="C49" s="15"/>
      <c r="D49" s="15"/>
      <c r="E49" s="15"/>
      <c r="F49" s="15"/>
      <c r="G49" s="15"/>
      <c r="H49" s="15"/>
      <c r="I49" s="15"/>
      <c r="J49" s="15"/>
    </row>
    <row r="50" spans="1:10">
      <c r="A50" s="15"/>
      <c r="B50" s="15"/>
      <c r="C50" s="15"/>
      <c r="D50" s="15"/>
      <c r="E50" s="15"/>
      <c r="F50" s="15"/>
      <c r="G50" s="15"/>
      <c r="H50" s="15"/>
      <c r="I50" s="15"/>
      <c r="J50" s="15"/>
    </row>
    <row r="51" spans="1:10">
      <c r="A51" s="15"/>
      <c r="B51" s="15"/>
      <c r="C51" s="15"/>
      <c r="D51" s="15"/>
      <c r="E51" s="15"/>
      <c r="F51" s="15"/>
      <c r="G51" s="15"/>
      <c r="H51" s="15"/>
      <c r="I51" s="15"/>
      <c r="J51" s="15"/>
    </row>
    <row r="52" spans="1:10">
      <c r="A52" s="15"/>
      <c r="B52" s="15"/>
      <c r="C52" s="15"/>
      <c r="D52" s="15"/>
      <c r="E52" s="15"/>
      <c r="F52" s="15"/>
      <c r="G52" s="15"/>
      <c r="H52" s="15"/>
      <c r="I52" s="15"/>
      <c r="J52" s="15"/>
    </row>
  </sheetData>
  <mergeCells count="1">
    <mergeCell ref="A48:J52"/>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0"/>
  <sheetViews>
    <sheetView zoomScale="85" zoomScaleNormal="85" workbookViewId="0">
      <pane ySplit="3" topLeftCell="A61" activePane="bottomLeft" state="frozen"/>
      <selection/>
      <selection pane="bottomLeft" activeCell="R90" sqref="R90"/>
    </sheetView>
  </sheetViews>
  <sheetFormatPr defaultColWidth="9" defaultRowHeight="13.5"/>
  <cols>
    <col min="1" max="1" width="12.875" customWidth="1"/>
    <col min="2" max="6" width="2.375" customWidth="1"/>
    <col min="7" max="7" width="3.375" customWidth="1"/>
    <col min="8" max="8" width="2.375" customWidth="1"/>
    <col min="9" max="9" width="3.375" style="13" customWidth="1"/>
    <col min="10" max="15" width="3.375" style="14" customWidth="1"/>
    <col min="16" max="16" width="2.375" style="14" customWidth="1"/>
    <col min="17" max="17" width="1.875" customWidth="1"/>
    <col min="19" max="19" width="7" customWidth="1"/>
    <col min="23" max="23" width="12.875" customWidth="1"/>
    <col min="24" max="24" width="8.875" customWidth="1"/>
    <col min="25" max="30" width="7.125" customWidth="1"/>
    <col min="31" max="31" width="6.25" customWidth="1"/>
    <col min="32" max="32" width="7.125" customWidth="1"/>
  </cols>
  <sheetData>
    <row r="1" ht="41" customHeight="1" spans="1:32">
      <c r="A1" s="15" t="s">
        <v>777</v>
      </c>
      <c r="B1" s="15"/>
      <c r="C1" s="15"/>
      <c r="D1" s="15"/>
      <c r="E1" s="15"/>
      <c r="F1" s="15"/>
      <c r="G1" s="15"/>
      <c r="H1" s="15"/>
      <c r="I1" s="25"/>
      <c r="J1" s="15"/>
      <c r="K1" s="15"/>
      <c r="L1" s="15"/>
      <c r="M1" s="15"/>
      <c r="N1" s="15"/>
      <c r="O1" s="15"/>
      <c r="P1" s="15"/>
      <c r="Q1" s="15"/>
      <c r="R1" s="15"/>
      <c r="S1" s="15"/>
      <c r="T1" s="15"/>
      <c r="U1" s="15"/>
      <c r="V1" s="15"/>
      <c r="W1" s="15"/>
      <c r="X1" s="15"/>
      <c r="Y1" s="15"/>
      <c r="Z1" s="15"/>
      <c r="AA1" s="15"/>
      <c r="AB1" s="15"/>
      <c r="AC1" s="15"/>
      <c r="AD1" s="15"/>
      <c r="AE1" s="15"/>
      <c r="AF1" s="15"/>
    </row>
    <row r="2" ht="14.25" spans="1:32">
      <c r="A2" s="15" t="s">
        <v>778</v>
      </c>
      <c r="B2" s="15"/>
      <c r="C2" s="15"/>
      <c r="D2" s="15"/>
      <c r="E2" s="15"/>
      <c r="F2" s="15"/>
      <c r="G2" s="15"/>
      <c r="H2" s="15"/>
      <c r="I2" s="25"/>
      <c r="J2" s="15"/>
      <c r="K2" s="15"/>
      <c r="L2" s="15"/>
      <c r="M2" s="15"/>
      <c r="N2" s="15"/>
      <c r="O2" s="15"/>
      <c r="P2" s="15"/>
      <c r="Q2" s="15"/>
      <c r="R2" s="15"/>
      <c r="S2" s="15"/>
      <c r="T2" s="15"/>
      <c r="U2" s="15"/>
      <c r="W2" s="15" t="s">
        <v>779</v>
      </c>
      <c r="X2" s="15"/>
      <c r="Y2" s="15"/>
      <c r="Z2" s="15"/>
      <c r="AA2" s="15"/>
      <c r="AB2" s="15"/>
      <c r="AC2" s="15"/>
      <c r="AD2" s="15"/>
      <c r="AE2" s="15"/>
      <c r="AF2" s="15"/>
    </row>
    <row r="3" ht="14.25" spans="1:32">
      <c r="A3" s="16"/>
      <c r="B3" s="17">
        <v>1</v>
      </c>
      <c r="C3" s="17">
        <v>2</v>
      </c>
      <c r="D3" s="17">
        <v>3</v>
      </c>
      <c r="E3" s="17">
        <v>4</v>
      </c>
      <c r="F3" s="17">
        <v>5</v>
      </c>
      <c r="G3" s="17">
        <v>6</v>
      </c>
      <c r="H3" s="17">
        <v>7</v>
      </c>
      <c r="I3" s="26">
        <v>8</v>
      </c>
      <c r="J3" s="27">
        <v>7</v>
      </c>
      <c r="K3" s="27">
        <v>6</v>
      </c>
      <c r="L3" s="27">
        <v>5</v>
      </c>
      <c r="M3" s="27">
        <v>4</v>
      </c>
      <c r="N3" s="27">
        <v>3</v>
      </c>
      <c r="O3" s="27">
        <v>2</v>
      </c>
      <c r="P3" s="28">
        <v>1</v>
      </c>
      <c r="R3" t="s">
        <v>780</v>
      </c>
      <c r="S3" t="s">
        <v>781</v>
      </c>
      <c r="T3" t="s">
        <v>782</v>
      </c>
      <c r="U3" t="s">
        <v>781</v>
      </c>
      <c r="X3" t="s">
        <v>783</v>
      </c>
      <c r="Y3" s="201" t="s">
        <v>784</v>
      </c>
      <c r="Z3" s="201" t="s">
        <v>785</v>
      </c>
      <c r="AA3" s="201" t="s">
        <v>786</v>
      </c>
      <c r="AB3" s="201" t="s">
        <v>787</v>
      </c>
      <c r="AC3" s="201" t="s">
        <v>788</v>
      </c>
      <c r="AD3" s="201" t="s">
        <v>789</v>
      </c>
      <c r="AE3" s="201" t="s">
        <v>790</v>
      </c>
      <c r="AF3" s="201" t="s">
        <v>791</v>
      </c>
    </row>
    <row r="4" ht="14.25" spans="1:30">
      <c r="A4" s="18" t="s">
        <v>792</v>
      </c>
      <c r="B4" s="17"/>
      <c r="C4" s="17"/>
      <c r="D4" s="17"/>
      <c r="E4" s="17"/>
      <c r="F4" s="17"/>
      <c r="G4" s="17"/>
      <c r="H4" s="17">
        <v>5</v>
      </c>
      <c r="I4" s="26"/>
      <c r="J4" s="27"/>
      <c r="K4" s="27"/>
      <c r="L4" s="27"/>
      <c r="M4" s="27"/>
      <c r="N4" s="27"/>
      <c r="O4" s="27"/>
      <c r="P4" s="28"/>
      <c r="R4">
        <f>COUNT(B4:I4)</f>
        <v>1</v>
      </c>
      <c r="S4">
        <f>SUM(B4:I4)</f>
        <v>5</v>
      </c>
      <c r="T4">
        <f>COUNT(J4:P4)</f>
        <v>0</v>
      </c>
      <c r="U4">
        <f>SUM(J4:P4)</f>
        <v>0</v>
      </c>
      <c r="W4" t="s">
        <v>793</v>
      </c>
      <c r="X4">
        <v>96</v>
      </c>
      <c r="AA4">
        <v>3</v>
      </c>
      <c r="AB4">
        <v>1</v>
      </c>
      <c r="AC4">
        <v>7</v>
      </c>
      <c r="AD4">
        <v>13</v>
      </c>
    </row>
    <row r="5" spans="1:28">
      <c r="A5" s="19" t="s">
        <v>794</v>
      </c>
      <c r="B5" s="20"/>
      <c r="C5" s="20"/>
      <c r="D5" s="20"/>
      <c r="E5" s="20"/>
      <c r="F5" s="20"/>
      <c r="G5" s="20"/>
      <c r="H5" s="20"/>
      <c r="I5" s="29"/>
      <c r="J5" s="30"/>
      <c r="K5" s="30"/>
      <c r="L5" s="30"/>
      <c r="M5" s="30">
        <v>1</v>
      </c>
      <c r="N5" s="30"/>
      <c r="O5" s="30"/>
      <c r="P5" s="31"/>
      <c r="R5" s="15">
        <f>COUNT(B5:I11)</f>
        <v>11</v>
      </c>
      <c r="S5" s="15">
        <f>SUM(C5:J11)</f>
        <v>25</v>
      </c>
      <c r="T5" s="15">
        <f>COUNT(J5:P11)</f>
        <v>9</v>
      </c>
      <c r="U5" s="15">
        <f>SUM(K5:Q11)</f>
        <v>15</v>
      </c>
      <c r="W5" t="s">
        <v>795</v>
      </c>
      <c r="X5">
        <v>11</v>
      </c>
      <c r="Y5">
        <v>2</v>
      </c>
      <c r="Z5">
        <v>1</v>
      </c>
      <c r="AB5">
        <v>1</v>
      </c>
    </row>
    <row r="6" spans="1:29">
      <c r="A6" s="21"/>
      <c r="F6">
        <v>8</v>
      </c>
      <c r="M6" s="14">
        <v>2</v>
      </c>
      <c r="P6" s="32"/>
      <c r="R6" s="15"/>
      <c r="S6" s="15"/>
      <c r="T6" s="15"/>
      <c r="U6" s="15"/>
      <c r="W6" t="s">
        <v>796</v>
      </c>
      <c r="X6">
        <v>57</v>
      </c>
      <c r="Y6">
        <v>6</v>
      </c>
      <c r="Z6">
        <v>11</v>
      </c>
      <c r="AA6">
        <v>1</v>
      </c>
      <c r="AB6">
        <v>1</v>
      </c>
      <c r="AC6">
        <v>1</v>
      </c>
    </row>
    <row r="7" spans="1:28">
      <c r="A7" s="21"/>
      <c r="F7">
        <v>1</v>
      </c>
      <c r="M7" s="14">
        <v>1</v>
      </c>
      <c r="N7" s="14">
        <v>3</v>
      </c>
      <c r="P7" s="32"/>
      <c r="R7" s="15"/>
      <c r="S7" s="15"/>
      <c r="T7" s="15"/>
      <c r="U7" s="15"/>
      <c r="W7" t="s">
        <v>797</v>
      </c>
      <c r="X7">
        <v>4</v>
      </c>
      <c r="Y7">
        <v>1</v>
      </c>
      <c r="AB7">
        <v>1</v>
      </c>
    </row>
    <row r="8" spans="1:31">
      <c r="A8" s="21"/>
      <c r="E8">
        <v>4</v>
      </c>
      <c r="N8" s="14">
        <v>3</v>
      </c>
      <c r="P8" s="32"/>
      <c r="R8" s="15"/>
      <c r="S8" s="15"/>
      <c r="T8" s="15"/>
      <c r="U8" s="15"/>
      <c r="W8" t="s">
        <v>794</v>
      </c>
      <c r="X8">
        <v>25</v>
      </c>
      <c r="AB8">
        <v>2</v>
      </c>
      <c r="AC8">
        <v>1</v>
      </c>
      <c r="AD8">
        <v>4</v>
      </c>
      <c r="AE8">
        <v>1</v>
      </c>
    </row>
    <row r="9" spans="1:28">
      <c r="A9" s="21"/>
      <c r="E9">
        <v>1</v>
      </c>
      <c r="F9">
        <v>2</v>
      </c>
      <c r="G9" s="14"/>
      <c r="M9" s="14">
        <v>1</v>
      </c>
      <c r="N9" s="14">
        <v>2</v>
      </c>
      <c r="O9" s="14">
        <v>1</v>
      </c>
      <c r="P9" s="32"/>
      <c r="R9" s="15"/>
      <c r="S9" s="15"/>
      <c r="T9" s="15"/>
      <c r="U9" s="15"/>
      <c r="W9" t="s">
        <v>798</v>
      </c>
      <c r="X9">
        <v>1</v>
      </c>
      <c r="AB9">
        <v>1</v>
      </c>
    </row>
    <row r="10" spans="1:29">
      <c r="A10" s="21"/>
      <c r="D10">
        <v>1</v>
      </c>
      <c r="E10">
        <v>2</v>
      </c>
      <c r="N10" s="14">
        <v>1</v>
      </c>
      <c r="P10" s="32"/>
      <c r="R10" s="15"/>
      <c r="S10" s="15"/>
      <c r="T10" s="15"/>
      <c r="U10" s="15"/>
      <c r="W10" t="s">
        <v>798</v>
      </c>
      <c r="X10">
        <v>230</v>
      </c>
      <c r="Y10">
        <v>25</v>
      </c>
      <c r="Z10">
        <v>26</v>
      </c>
      <c r="AA10">
        <v>1</v>
      </c>
      <c r="AB10">
        <v>1</v>
      </c>
      <c r="AC10">
        <v>4</v>
      </c>
    </row>
    <row r="11" ht="14.25" spans="1:29">
      <c r="A11" s="22"/>
      <c r="B11" s="23"/>
      <c r="C11" s="23"/>
      <c r="D11" s="23"/>
      <c r="E11" s="23">
        <v>1</v>
      </c>
      <c r="F11" s="23">
        <v>1</v>
      </c>
      <c r="G11" s="23">
        <v>3</v>
      </c>
      <c r="H11" s="23">
        <v>1</v>
      </c>
      <c r="I11" s="33"/>
      <c r="J11" s="34"/>
      <c r="K11" s="34"/>
      <c r="L11" s="34"/>
      <c r="M11" s="34"/>
      <c r="N11" s="34"/>
      <c r="O11" s="34"/>
      <c r="P11" s="35"/>
      <c r="R11" s="15"/>
      <c r="S11" s="15"/>
      <c r="T11" s="15"/>
      <c r="U11" s="15"/>
      <c r="W11" t="s">
        <v>792</v>
      </c>
      <c r="X11">
        <v>3</v>
      </c>
      <c r="AB11">
        <v>1</v>
      </c>
      <c r="AC11">
        <v>1</v>
      </c>
    </row>
    <row r="12" spans="1:28">
      <c r="A12" s="19" t="s">
        <v>798</v>
      </c>
      <c r="B12" s="20"/>
      <c r="C12" s="20"/>
      <c r="D12" s="20"/>
      <c r="E12" s="20"/>
      <c r="F12" s="20"/>
      <c r="G12" s="20">
        <v>2</v>
      </c>
      <c r="H12" s="20"/>
      <c r="I12" s="29"/>
      <c r="J12" s="30"/>
      <c r="K12" s="30"/>
      <c r="L12" s="30">
        <v>5</v>
      </c>
      <c r="M12" s="30"/>
      <c r="N12" s="30"/>
      <c r="O12" s="30"/>
      <c r="P12" s="31"/>
      <c r="R12" s="15">
        <f>COUNT(B12:I14)</f>
        <v>6</v>
      </c>
      <c r="S12" s="15">
        <f>SUM(C12:J14)</f>
        <v>18</v>
      </c>
      <c r="T12" s="15">
        <f>COUNT(J12:P14)</f>
        <v>4</v>
      </c>
      <c r="U12" s="15">
        <f>SUM(K12:Q14)</f>
        <v>17</v>
      </c>
      <c r="W12" t="s">
        <v>792</v>
      </c>
      <c r="X12">
        <v>4</v>
      </c>
      <c r="AA12">
        <v>1</v>
      </c>
      <c r="AB12">
        <v>1</v>
      </c>
    </row>
    <row r="13" spans="1:29">
      <c r="A13" s="21"/>
      <c r="G13">
        <v>3</v>
      </c>
      <c r="L13" s="14">
        <v>8</v>
      </c>
      <c r="M13" s="14">
        <v>3</v>
      </c>
      <c r="N13" s="14">
        <v>1</v>
      </c>
      <c r="P13" s="32"/>
      <c r="R13" s="15"/>
      <c r="S13" s="15"/>
      <c r="T13" s="15"/>
      <c r="U13" s="15"/>
      <c r="W13" t="s">
        <v>799</v>
      </c>
      <c r="X13">
        <v>36</v>
      </c>
      <c r="Y13">
        <v>4</v>
      </c>
      <c r="Z13">
        <v>4</v>
      </c>
      <c r="AB13">
        <v>1</v>
      </c>
      <c r="AC13">
        <v>1</v>
      </c>
    </row>
    <row r="14" ht="14.25" spans="1:29">
      <c r="A14" s="22"/>
      <c r="B14" s="23"/>
      <c r="C14" s="23"/>
      <c r="D14" s="23"/>
      <c r="E14" s="23">
        <v>1</v>
      </c>
      <c r="F14" s="23">
        <v>4</v>
      </c>
      <c r="G14" s="23">
        <v>1</v>
      </c>
      <c r="H14" s="23">
        <v>7</v>
      </c>
      <c r="I14" s="33"/>
      <c r="J14" s="34"/>
      <c r="K14" s="34"/>
      <c r="L14" s="34"/>
      <c r="M14" s="34"/>
      <c r="N14" s="34"/>
      <c r="O14" s="34"/>
      <c r="P14" s="35"/>
      <c r="R14" s="15"/>
      <c r="S14" s="15"/>
      <c r="T14" s="15"/>
      <c r="U14" s="15"/>
      <c r="W14" t="s">
        <v>800</v>
      </c>
      <c r="X14">
        <v>67</v>
      </c>
      <c r="Y14">
        <v>6</v>
      </c>
      <c r="Z14">
        <v>7</v>
      </c>
      <c r="AA14">
        <v>2</v>
      </c>
      <c r="AB14">
        <v>1</v>
      </c>
      <c r="AC14">
        <v>2</v>
      </c>
    </row>
    <row r="15" spans="1:28">
      <c r="A15" s="19" t="s">
        <v>792</v>
      </c>
      <c r="B15" s="20"/>
      <c r="C15" s="20"/>
      <c r="D15" s="20"/>
      <c r="E15" s="20"/>
      <c r="F15" s="20"/>
      <c r="G15" s="20">
        <v>1</v>
      </c>
      <c r="H15" s="20"/>
      <c r="I15" s="29"/>
      <c r="J15" s="30"/>
      <c r="K15" s="30"/>
      <c r="L15" s="30">
        <v>2</v>
      </c>
      <c r="M15" s="30">
        <v>2</v>
      </c>
      <c r="N15" s="30"/>
      <c r="O15" s="30"/>
      <c r="P15" s="31"/>
      <c r="R15" s="15">
        <f>COUNT(B15:I17)</f>
        <v>5</v>
      </c>
      <c r="S15" s="15">
        <f>SUM(C15:J17)</f>
        <v>10</v>
      </c>
      <c r="T15" s="15">
        <f>COUNT(J15:P17)</f>
        <v>3</v>
      </c>
      <c r="U15" s="15">
        <f>SUM(K15:Q17)</f>
        <v>8</v>
      </c>
      <c r="W15" t="s">
        <v>801</v>
      </c>
      <c r="X15">
        <v>10</v>
      </c>
      <c r="Y15">
        <v>1</v>
      </c>
      <c r="AB15">
        <v>1</v>
      </c>
    </row>
    <row r="16" spans="1:21">
      <c r="A16" s="21"/>
      <c r="F16">
        <v>2</v>
      </c>
      <c r="M16" s="14">
        <v>4</v>
      </c>
      <c r="P16" s="32"/>
      <c r="R16" s="15"/>
      <c r="S16" s="15"/>
      <c r="T16" s="15"/>
      <c r="U16" s="15"/>
    </row>
    <row r="17" ht="14.25" spans="1:21">
      <c r="A17" s="22"/>
      <c r="B17" s="23"/>
      <c r="C17" s="23"/>
      <c r="D17" s="23"/>
      <c r="E17" s="23"/>
      <c r="F17" s="23">
        <v>4</v>
      </c>
      <c r="G17" s="23">
        <v>2</v>
      </c>
      <c r="H17" s="23">
        <v>1</v>
      </c>
      <c r="I17" s="33"/>
      <c r="J17" s="34"/>
      <c r="K17" s="34"/>
      <c r="L17" s="34"/>
      <c r="M17" s="34"/>
      <c r="N17" s="34"/>
      <c r="O17" s="34"/>
      <c r="P17" s="35"/>
      <c r="R17" s="15"/>
      <c r="S17" s="15"/>
      <c r="T17" s="15"/>
      <c r="U17" s="15"/>
    </row>
    <row r="18" ht="14.25" spans="1:16">
      <c r="A18" s="18" t="s">
        <v>796</v>
      </c>
      <c r="B18" s="17"/>
      <c r="C18" s="17"/>
      <c r="D18" s="17"/>
      <c r="E18" s="17"/>
      <c r="F18" s="17"/>
      <c r="G18" s="17">
        <v>1</v>
      </c>
      <c r="H18" s="17">
        <v>1</v>
      </c>
      <c r="I18" s="26"/>
      <c r="J18" s="27"/>
      <c r="K18" s="27"/>
      <c r="L18" s="27"/>
      <c r="M18" s="27"/>
      <c r="N18" s="27"/>
      <c r="O18" s="27"/>
      <c r="P18" s="28"/>
    </row>
    <row r="19" spans="1:21">
      <c r="A19" s="19" t="s">
        <v>795</v>
      </c>
      <c r="B19" s="20"/>
      <c r="C19" s="20"/>
      <c r="D19" s="20"/>
      <c r="E19" s="20"/>
      <c r="F19" s="20"/>
      <c r="G19" s="20">
        <v>1</v>
      </c>
      <c r="H19" s="20"/>
      <c r="I19" s="29"/>
      <c r="J19" s="30"/>
      <c r="K19" s="30"/>
      <c r="L19" s="30">
        <v>6</v>
      </c>
      <c r="M19" s="30">
        <v>1</v>
      </c>
      <c r="N19" s="30"/>
      <c r="O19" s="30"/>
      <c r="P19" s="31"/>
      <c r="R19" s="15">
        <f>COUNT(B476)</f>
        <v>0</v>
      </c>
      <c r="S19" s="15"/>
      <c r="T19" s="15"/>
      <c r="U19" s="15"/>
    </row>
    <row r="20" spans="1:21">
      <c r="A20" s="21"/>
      <c r="F20">
        <v>1</v>
      </c>
      <c r="M20" s="14">
        <v>2</v>
      </c>
      <c r="P20" s="32"/>
      <c r="R20" s="15"/>
      <c r="S20" s="15"/>
      <c r="T20" s="15"/>
      <c r="U20" s="15"/>
    </row>
    <row r="21" spans="1:21">
      <c r="A21" s="21"/>
      <c r="F21">
        <v>1</v>
      </c>
      <c r="M21" s="14">
        <v>3</v>
      </c>
      <c r="P21" s="32"/>
      <c r="R21" s="15"/>
      <c r="S21" s="15"/>
      <c r="T21" s="15"/>
      <c r="U21" s="15"/>
    </row>
    <row r="22" spans="1:21">
      <c r="A22" s="21"/>
      <c r="F22">
        <v>1</v>
      </c>
      <c r="M22" s="14">
        <v>1</v>
      </c>
      <c r="N22" s="14">
        <v>2</v>
      </c>
      <c r="O22" s="14">
        <v>3</v>
      </c>
      <c r="P22" s="32"/>
      <c r="R22" s="15"/>
      <c r="S22" s="15"/>
      <c r="T22" s="15"/>
      <c r="U22" s="15"/>
    </row>
    <row r="23" spans="1:21">
      <c r="A23" s="21"/>
      <c r="D23">
        <v>2</v>
      </c>
      <c r="E23">
        <v>2</v>
      </c>
      <c r="F23">
        <v>1</v>
      </c>
      <c r="M23" s="14">
        <v>5</v>
      </c>
      <c r="P23" s="32"/>
      <c r="R23" s="15"/>
      <c r="S23" s="15"/>
      <c r="T23" s="15"/>
      <c r="U23" s="15"/>
    </row>
    <row r="24" spans="1:21">
      <c r="A24" s="21"/>
      <c r="F24">
        <v>1</v>
      </c>
      <c r="M24" s="14">
        <v>4</v>
      </c>
      <c r="P24" s="32"/>
      <c r="R24" s="15"/>
      <c r="S24" s="15"/>
      <c r="T24" s="15"/>
      <c r="U24" s="15"/>
    </row>
    <row r="25" spans="1:21">
      <c r="A25" s="21"/>
      <c r="F25">
        <v>1</v>
      </c>
      <c r="M25" s="14">
        <v>5</v>
      </c>
      <c r="N25" s="14">
        <v>4</v>
      </c>
      <c r="P25" s="32"/>
      <c r="R25" s="15"/>
      <c r="S25" s="15"/>
      <c r="T25" s="15"/>
      <c r="U25" s="15"/>
    </row>
    <row r="26" spans="1:21">
      <c r="A26" s="21"/>
      <c r="E26">
        <v>1</v>
      </c>
      <c r="F26">
        <v>1</v>
      </c>
      <c r="G26">
        <v>3</v>
      </c>
      <c r="L26" s="14">
        <v>2</v>
      </c>
      <c r="P26" s="32"/>
      <c r="R26" s="15"/>
      <c r="S26" s="15"/>
      <c r="T26" s="15"/>
      <c r="U26" s="15"/>
    </row>
    <row r="27" spans="1:21">
      <c r="A27" s="21"/>
      <c r="G27">
        <v>1</v>
      </c>
      <c r="L27" s="14">
        <v>1</v>
      </c>
      <c r="M27" s="14">
        <v>9</v>
      </c>
      <c r="P27" s="32"/>
      <c r="R27" s="15"/>
      <c r="S27" s="15"/>
      <c r="T27" s="15"/>
      <c r="U27" s="15"/>
    </row>
    <row r="28" spans="1:21">
      <c r="A28" s="21"/>
      <c r="F28">
        <v>3</v>
      </c>
      <c r="M28" s="14">
        <v>6</v>
      </c>
      <c r="N28" s="14">
        <v>2</v>
      </c>
      <c r="P28" s="32"/>
      <c r="R28" s="15"/>
      <c r="S28" s="15"/>
      <c r="T28" s="15"/>
      <c r="U28" s="15"/>
    </row>
    <row r="29" spans="1:21">
      <c r="A29" s="21"/>
      <c r="E29">
        <v>6</v>
      </c>
      <c r="N29" s="14">
        <v>11</v>
      </c>
      <c r="P29" s="32"/>
      <c r="R29" s="15"/>
      <c r="S29" s="15"/>
      <c r="T29" s="15"/>
      <c r="U29" s="15"/>
    </row>
    <row r="30" spans="1:21">
      <c r="A30" s="21"/>
      <c r="E30">
        <v>1</v>
      </c>
      <c r="N30" s="14">
        <v>4</v>
      </c>
      <c r="P30" s="32"/>
      <c r="R30" s="15"/>
      <c r="S30" s="15"/>
      <c r="T30" s="15"/>
      <c r="U30" s="15"/>
    </row>
    <row r="31" spans="1:21">
      <c r="A31" s="21"/>
      <c r="E31">
        <v>1</v>
      </c>
      <c r="F31">
        <v>1</v>
      </c>
      <c r="M31" s="14">
        <v>1</v>
      </c>
      <c r="P31" s="32"/>
      <c r="R31" s="15"/>
      <c r="S31" s="15"/>
      <c r="T31" s="15"/>
      <c r="U31" s="15"/>
    </row>
    <row r="32" spans="1:21">
      <c r="A32" s="21"/>
      <c r="F32">
        <v>1</v>
      </c>
      <c r="M32" s="14">
        <v>1</v>
      </c>
      <c r="P32" s="32"/>
      <c r="R32" s="15"/>
      <c r="S32" s="15"/>
      <c r="T32" s="15"/>
      <c r="U32" s="15"/>
    </row>
    <row r="33" spans="1:21">
      <c r="A33" s="21"/>
      <c r="F33">
        <v>4</v>
      </c>
      <c r="G33">
        <v>1</v>
      </c>
      <c r="L33" s="14">
        <v>4</v>
      </c>
      <c r="P33" s="32"/>
      <c r="R33" s="15"/>
      <c r="S33" s="15"/>
      <c r="T33" s="15"/>
      <c r="U33" s="15"/>
    </row>
    <row r="34" spans="1:21">
      <c r="A34" s="21"/>
      <c r="G34">
        <v>1</v>
      </c>
      <c r="L34" s="14">
        <v>7</v>
      </c>
      <c r="M34" s="14">
        <v>7</v>
      </c>
      <c r="P34" s="32"/>
      <c r="R34" s="15"/>
      <c r="S34" s="15"/>
      <c r="T34" s="15"/>
      <c r="U34" s="15"/>
    </row>
    <row r="35" spans="1:21">
      <c r="A35" s="21"/>
      <c r="F35">
        <v>3</v>
      </c>
      <c r="G35">
        <v>3</v>
      </c>
      <c r="L35" s="14">
        <v>1</v>
      </c>
      <c r="M35" s="14">
        <v>2</v>
      </c>
      <c r="P35" s="32"/>
      <c r="R35" s="15"/>
      <c r="S35" s="15"/>
      <c r="T35" s="15"/>
      <c r="U35" s="15"/>
    </row>
    <row r="36" spans="1:21">
      <c r="A36" s="21"/>
      <c r="F36">
        <v>1</v>
      </c>
      <c r="M36" s="14">
        <v>1</v>
      </c>
      <c r="P36" s="32"/>
      <c r="R36" s="15"/>
      <c r="S36" s="15"/>
      <c r="T36" s="15"/>
      <c r="U36" s="15"/>
    </row>
    <row r="37" spans="1:21">
      <c r="A37" s="21"/>
      <c r="F37">
        <v>1</v>
      </c>
      <c r="G37">
        <v>2</v>
      </c>
      <c r="L37" s="14">
        <v>9</v>
      </c>
      <c r="M37" s="14">
        <v>4</v>
      </c>
      <c r="P37" s="32"/>
      <c r="R37" s="15"/>
      <c r="S37" s="15"/>
      <c r="T37" s="15"/>
      <c r="U37" s="15"/>
    </row>
    <row r="38" spans="1:21">
      <c r="A38" s="21"/>
      <c r="F38">
        <v>2</v>
      </c>
      <c r="M38" s="14">
        <v>2</v>
      </c>
      <c r="P38" s="32"/>
      <c r="R38" s="15"/>
      <c r="S38" s="15"/>
      <c r="T38" s="15"/>
      <c r="U38" s="15"/>
    </row>
    <row r="39" spans="1:21">
      <c r="A39" s="21"/>
      <c r="F39">
        <v>1</v>
      </c>
      <c r="G39">
        <v>5</v>
      </c>
      <c r="L39" s="14">
        <v>2</v>
      </c>
      <c r="P39" s="32"/>
      <c r="R39" s="15"/>
      <c r="S39" s="15"/>
      <c r="T39" s="15"/>
      <c r="U39" s="15"/>
    </row>
    <row r="40" spans="1:21">
      <c r="A40" s="21"/>
      <c r="G40">
        <v>1</v>
      </c>
      <c r="L40" s="14">
        <v>4</v>
      </c>
      <c r="P40" s="32"/>
      <c r="R40" s="15"/>
      <c r="S40" s="15"/>
      <c r="T40" s="15"/>
      <c r="U40" s="15"/>
    </row>
    <row r="41" spans="1:21">
      <c r="A41" s="21"/>
      <c r="G41">
        <v>2</v>
      </c>
      <c r="L41" s="14">
        <v>1</v>
      </c>
      <c r="P41" s="32"/>
      <c r="R41" s="15"/>
      <c r="S41" s="15"/>
      <c r="T41" s="15"/>
      <c r="U41" s="15"/>
    </row>
    <row r="42" spans="1:21">
      <c r="A42" s="21"/>
      <c r="L42" s="14">
        <v>13</v>
      </c>
      <c r="P42" s="32"/>
      <c r="R42" s="15"/>
      <c r="S42" s="15"/>
      <c r="T42" s="15"/>
      <c r="U42" s="15"/>
    </row>
    <row r="43" spans="1:21">
      <c r="A43" s="21"/>
      <c r="L43" s="14">
        <v>2</v>
      </c>
      <c r="P43" s="32"/>
      <c r="R43" s="15"/>
      <c r="S43" s="15"/>
      <c r="T43" s="15"/>
      <c r="U43" s="15"/>
    </row>
    <row r="44" spans="1:21">
      <c r="A44" s="21"/>
      <c r="L44" s="14">
        <v>3</v>
      </c>
      <c r="P44" s="32"/>
      <c r="R44" s="15"/>
      <c r="S44" s="15"/>
      <c r="T44" s="15"/>
      <c r="U44" s="15"/>
    </row>
    <row r="45" spans="1:21">
      <c r="A45" s="21"/>
      <c r="L45" s="14">
        <v>6</v>
      </c>
      <c r="P45" s="32"/>
      <c r="R45" s="15"/>
      <c r="S45" s="15"/>
      <c r="T45" s="15"/>
      <c r="U45" s="15"/>
    </row>
    <row r="46" spans="1:21">
      <c r="A46" s="21"/>
      <c r="L46" s="14">
        <v>4</v>
      </c>
      <c r="P46" s="32"/>
      <c r="R46" s="15"/>
      <c r="S46" s="15"/>
      <c r="T46" s="15"/>
      <c r="U46" s="15"/>
    </row>
    <row r="47" ht="14.25" spans="1:21">
      <c r="A47" s="22"/>
      <c r="B47" s="23"/>
      <c r="C47" s="23"/>
      <c r="D47" s="23"/>
      <c r="E47" s="23"/>
      <c r="F47" s="23"/>
      <c r="G47" s="23"/>
      <c r="H47" s="23">
        <v>7</v>
      </c>
      <c r="I47" s="33"/>
      <c r="J47" s="34"/>
      <c r="K47" s="34"/>
      <c r="L47" s="34"/>
      <c r="M47" s="34"/>
      <c r="N47" s="34"/>
      <c r="O47" s="34"/>
      <c r="P47" s="35"/>
      <c r="R47" s="15"/>
      <c r="S47" s="15"/>
      <c r="T47" s="15"/>
      <c r="U47" s="15"/>
    </row>
    <row r="48" spans="1:21">
      <c r="A48" s="19" t="s">
        <v>793</v>
      </c>
      <c r="B48" s="20">
        <v>1</v>
      </c>
      <c r="C48" s="20">
        <v>2</v>
      </c>
      <c r="D48" s="20">
        <v>3</v>
      </c>
      <c r="E48" s="20"/>
      <c r="F48" s="20"/>
      <c r="G48" s="20"/>
      <c r="H48" s="20"/>
      <c r="I48" s="29"/>
      <c r="J48" s="30"/>
      <c r="K48" s="30"/>
      <c r="L48" s="30"/>
      <c r="M48" s="30"/>
      <c r="N48" s="30"/>
      <c r="O48" s="30">
        <v>2</v>
      </c>
      <c r="P48" s="31">
        <v>1</v>
      </c>
      <c r="R48" s="15"/>
      <c r="S48" s="15"/>
      <c r="T48" s="15"/>
      <c r="U48" s="15"/>
    </row>
    <row r="49" spans="1:21">
      <c r="A49" s="21"/>
      <c r="C49">
        <v>2</v>
      </c>
      <c r="P49" s="32">
        <v>1</v>
      </c>
      <c r="R49" s="15"/>
      <c r="S49" s="15"/>
      <c r="T49" s="15"/>
      <c r="U49" s="15"/>
    </row>
    <row r="50" spans="1:21">
      <c r="A50" s="21"/>
      <c r="C50">
        <v>1</v>
      </c>
      <c r="D50">
        <v>2</v>
      </c>
      <c r="E50">
        <v>1</v>
      </c>
      <c r="F50">
        <v>2</v>
      </c>
      <c r="M50" s="14">
        <v>8</v>
      </c>
      <c r="P50" s="32"/>
      <c r="R50" s="15"/>
      <c r="S50" s="15"/>
      <c r="T50" s="15"/>
      <c r="U50" s="15"/>
    </row>
    <row r="51" spans="1:21">
      <c r="A51" s="21"/>
      <c r="F51">
        <v>2</v>
      </c>
      <c r="G51">
        <v>2</v>
      </c>
      <c r="L51" s="14">
        <v>2</v>
      </c>
      <c r="P51" s="32"/>
      <c r="R51" s="15"/>
      <c r="S51" s="15"/>
      <c r="T51" s="15"/>
      <c r="U51" s="15"/>
    </row>
    <row r="52" spans="1:21">
      <c r="A52" s="21"/>
      <c r="G52">
        <v>10</v>
      </c>
      <c r="L52" s="14">
        <v>5</v>
      </c>
      <c r="P52" s="32"/>
      <c r="R52" s="15"/>
      <c r="S52" s="15"/>
      <c r="T52" s="15"/>
      <c r="U52" s="15"/>
    </row>
    <row r="53" ht="14.25" spans="1:21">
      <c r="A53" s="22"/>
      <c r="B53" s="23"/>
      <c r="C53" s="23"/>
      <c r="D53" s="23"/>
      <c r="E53" s="23"/>
      <c r="F53" s="23"/>
      <c r="G53" s="23">
        <v>1</v>
      </c>
      <c r="H53" s="23">
        <v>3</v>
      </c>
      <c r="I53" s="33"/>
      <c r="J53" s="34"/>
      <c r="K53" s="34"/>
      <c r="L53" s="34"/>
      <c r="M53" s="34"/>
      <c r="N53" s="34"/>
      <c r="O53" s="34"/>
      <c r="P53" s="35"/>
      <c r="R53" s="15"/>
      <c r="S53" s="15"/>
      <c r="T53" s="15"/>
      <c r="U53" s="15"/>
    </row>
    <row r="54" spans="1:21">
      <c r="A54" s="19" t="s">
        <v>802</v>
      </c>
      <c r="B54" s="20"/>
      <c r="C54" s="20"/>
      <c r="D54" s="20">
        <v>1</v>
      </c>
      <c r="E54" s="20">
        <v>3</v>
      </c>
      <c r="F54" s="20">
        <v>1</v>
      </c>
      <c r="G54" s="20">
        <v>2</v>
      </c>
      <c r="H54" s="20"/>
      <c r="I54" s="29"/>
      <c r="J54" s="30"/>
      <c r="K54" s="30"/>
      <c r="L54" s="30">
        <v>2</v>
      </c>
      <c r="M54" s="30">
        <v>2</v>
      </c>
      <c r="N54" s="30"/>
      <c r="O54" s="30"/>
      <c r="P54" s="31"/>
      <c r="R54" s="15"/>
      <c r="S54" s="15"/>
      <c r="T54" s="15"/>
      <c r="U54" s="15"/>
    </row>
    <row r="55" spans="1:21">
      <c r="A55" s="21"/>
      <c r="F55">
        <v>3</v>
      </c>
      <c r="G55">
        <v>4</v>
      </c>
      <c r="L55" s="14">
        <v>1</v>
      </c>
      <c r="P55" s="32"/>
      <c r="R55" s="15"/>
      <c r="S55" s="15"/>
      <c r="T55" s="15"/>
      <c r="U55" s="15"/>
    </row>
    <row r="56" spans="1:21">
      <c r="A56" s="21"/>
      <c r="G56">
        <v>1</v>
      </c>
      <c r="L56" s="14">
        <v>13</v>
      </c>
      <c r="P56" s="32"/>
      <c r="R56" s="15"/>
      <c r="S56" s="15"/>
      <c r="T56" s="15"/>
      <c r="U56" s="15"/>
    </row>
    <row r="57" spans="1:21">
      <c r="A57" s="21"/>
      <c r="G57">
        <v>1</v>
      </c>
      <c r="L57" s="14">
        <v>2</v>
      </c>
      <c r="P57" s="32"/>
      <c r="R57" s="15"/>
      <c r="S57" s="15"/>
      <c r="T57" s="15"/>
      <c r="U57" s="15"/>
    </row>
    <row r="58" ht="14.25" spans="1:21">
      <c r="A58" s="22"/>
      <c r="B58" s="23"/>
      <c r="C58" s="23"/>
      <c r="D58" s="23"/>
      <c r="E58" s="23"/>
      <c r="F58" s="23"/>
      <c r="G58" s="23">
        <v>4</v>
      </c>
      <c r="H58" s="23">
        <v>2</v>
      </c>
      <c r="I58" s="33"/>
      <c r="J58" s="34"/>
      <c r="K58" s="34"/>
      <c r="L58" s="34"/>
      <c r="M58" s="34"/>
      <c r="N58" s="34"/>
      <c r="O58" s="34"/>
      <c r="P58" s="35"/>
      <c r="R58" s="15"/>
      <c r="S58" s="15"/>
      <c r="T58" s="15"/>
      <c r="U58" s="15"/>
    </row>
    <row r="59" spans="1:21">
      <c r="A59" s="19" t="s">
        <v>803</v>
      </c>
      <c r="B59" s="20"/>
      <c r="C59" s="20">
        <v>3</v>
      </c>
      <c r="D59" s="20"/>
      <c r="E59" s="20"/>
      <c r="F59" s="20"/>
      <c r="G59" s="20"/>
      <c r="H59" s="20"/>
      <c r="I59" s="29"/>
      <c r="J59" s="30"/>
      <c r="K59" s="30"/>
      <c r="L59" s="30"/>
      <c r="M59" s="30"/>
      <c r="N59" s="30"/>
      <c r="O59" s="30"/>
      <c r="P59" s="31">
        <v>1</v>
      </c>
      <c r="R59" s="15"/>
      <c r="S59" s="15"/>
      <c r="T59" s="15"/>
      <c r="U59" s="15"/>
    </row>
    <row r="60" spans="1:21">
      <c r="A60" s="21"/>
      <c r="C60">
        <v>1</v>
      </c>
      <c r="D60">
        <v>3</v>
      </c>
      <c r="E60">
        <v>1</v>
      </c>
      <c r="N60" s="14">
        <v>1</v>
      </c>
      <c r="P60" s="32"/>
      <c r="R60" s="15"/>
      <c r="S60" s="15"/>
      <c r="T60" s="15"/>
      <c r="U60" s="15"/>
    </row>
    <row r="61" ht="14.25" spans="1:21">
      <c r="A61" s="22"/>
      <c r="B61" s="23"/>
      <c r="C61" s="23"/>
      <c r="D61" s="23"/>
      <c r="E61" s="23">
        <v>2</v>
      </c>
      <c r="F61" s="23">
        <v>1</v>
      </c>
      <c r="G61" s="23">
        <v>1</v>
      </c>
      <c r="H61" s="23">
        <v>2</v>
      </c>
      <c r="I61" s="33"/>
      <c r="J61" s="34"/>
      <c r="K61" s="34"/>
      <c r="L61" s="34"/>
      <c r="M61" s="34"/>
      <c r="N61" s="34"/>
      <c r="O61" s="34"/>
      <c r="P61" s="35"/>
      <c r="R61" s="15"/>
      <c r="S61" s="15"/>
      <c r="T61" s="15"/>
      <c r="U61" s="15"/>
    </row>
    <row r="62" ht="14.25" spans="1:16">
      <c r="A62" s="18" t="s">
        <v>801</v>
      </c>
      <c r="B62" s="17"/>
      <c r="C62" s="17"/>
      <c r="D62" s="17"/>
      <c r="E62" s="17"/>
      <c r="F62" s="17">
        <v>1</v>
      </c>
      <c r="G62" s="17">
        <v>8</v>
      </c>
      <c r="H62" s="17">
        <v>3</v>
      </c>
      <c r="I62" s="26"/>
      <c r="J62" s="27"/>
      <c r="K62" s="27"/>
      <c r="L62" s="27"/>
      <c r="M62" s="27"/>
      <c r="N62" s="27"/>
      <c r="O62" s="27"/>
      <c r="P62" s="28"/>
    </row>
    <row r="63" spans="1:1">
      <c r="A63" s="24"/>
    </row>
    <row r="64" spans="1:1">
      <c r="A64" s="24"/>
    </row>
    <row r="65" spans="1:1">
      <c r="A65" s="24"/>
    </row>
    <row r="66" ht="14.25" spans="1:17">
      <c r="A66" s="15" t="s">
        <v>804</v>
      </c>
      <c r="B66" s="15"/>
      <c r="C66" s="15"/>
      <c r="D66" s="15"/>
      <c r="E66" s="15"/>
      <c r="F66" s="15"/>
      <c r="G66" s="15"/>
      <c r="H66" s="15"/>
      <c r="I66" s="25"/>
      <c r="J66" s="15"/>
      <c r="K66" s="15"/>
      <c r="L66" s="15"/>
      <c r="M66" s="15"/>
      <c r="N66" s="15"/>
      <c r="O66" s="15"/>
      <c r="P66" s="15"/>
      <c r="Q66" s="15"/>
    </row>
    <row r="67" ht="14.25" spans="1:16">
      <c r="A67" s="18" t="s">
        <v>792</v>
      </c>
      <c r="B67" s="17"/>
      <c r="C67" s="17"/>
      <c r="D67" s="17"/>
      <c r="E67" s="17"/>
      <c r="F67" s="17"/>
      <c r="G67" s="17"/>
      <c r="H67" s="17"/>
      <c r="I67" s="26">
        <v>3</v>
      </c>
      <c r="J67" s="27">
        <v>8</v>
      </c>
      <c r="K67" s="27">
        <v>3</v>
      </c>
      <c r="L67" s="27"/>
      <c r="M67" s="27"/>
      <c r="N67" s="27"/>
      <c r="O67" s="27"/>
      <c r="P67" s="28"/>
    </row>
    <row r="68" spans="1:21">
      <c r="A68" s="19" t="s">
        <v>794</v>
      </c>
      <c r="B68" s="20"/>
      <c r="C68" s="20"/>
      <c r="D68" s="20"/>
      <c r="E68" s="20"/>
      <c r="F68" s="20"/>
      <c r="G68" s="20"/>
      <c r="H68" s="20"/>
      <c r="I68" s="29">
        <v>2</v>
      </c>
      <c r="J68" s="30">
        <v>1</v>
      </c>
      <c r="K68" s="30">
        <v>6</v>
      </c>
      <c r="L68" s="30">
        <v>1</v>
      </c>
      <c r="M68" s="30">
        <v>4</v>
      </c>
      <c r="N68" s="30">
        <v>5</v>
      </c>
      <c r="O68" s="30">
        <v>6</v>
      </c>
      <c r="P68" s="31">
        <v>3</v>
      </c>
      <c r="R68" s="15"/>
      <c r="S68" s="15"/>
      <c r="T68" s="15"/>
      <c r="U68" s="15"/>
    </row>
    <row r="69" spans="1:21">
      <c r="A69" s="21"/>
      <c r="J69" s="14">
        <v>9</v>
      </c>
      <c r="K69" s="14">
        <v>7</v>
      </c>
      <c r="L69" s="14">
        <v>1</v>
      </c>
      <c r="M69" s="14">
        <v>1</v>
      </c>
      <c r="N69" s="14">
        <v>7</v>
      </c>
      <c r="O69" s="14">
        <v>3</v>
      </c>
      <c r="P69" s="32">
        <v>4</v>
      </c>
      <c r="R69" s="15"/>
      <c r="S69" s="15"/>
      <c r="T69" s="15"/>
      <c r="U69" s="15"/>
    </row>
    <row r="70" ht="14.25" spans="1:21">
      <c r="A70" s="22"/>
      <c r="B70" s="23"/>
      <c r="C70" s="23"/>
      <c r="D70" s="23"/>
      <c r="E70" s="23"/>
      <c r="F70" s="23"/>
      <c r="G70" s="23"/>
      <c r="H70" s="23"/>
      <c r="I70" s="33"/>
      <c r="J70" s="34">
        <v>2</v>
      </c>
      <c r="K70" s="34">
        <v>1</v>
      </c>
      <c r="L70" s="34">
        <v>1</v>
      </c>
      <c r="M70" s="34"/>
      <c r="N70" s="34"/>
      <c r="O70" s="34"/>
      <c r="P70" s="35"/>
      <c r="R70" s="15"/>
      <c r="S70" s="15"/>
      <c r="T70" s="15"/>
      <c r="U70" s="15"/>
    </row>
    <row r="71" ht="14.25" spans="1:16">
      <c r="A71" s="18" t="s">
        <v>792</v>
      </c>
      <c r="B71" s="17"/>
      <c r="C71" s="17"/>
      <c r="D71" s="17"/>
      <c r="E71" s="17"/>
      <c r="F71" s="17"/>
      <c r="G71" s="17"/>
      <c r="H71" s="17"/>
      <c r="I71" s="26">
        <v>11</v>
      </c>
      <c r="J71" s="27"/>
      <c r="K71" s="27"/>
      <c r="L71" s="27"/>
      <c r="M71" s="27"/>
      <c r="N71" s="27"/>
      <c r="O71" s="27"/>
      <c r="P71" s="28"/>
    </row>
    <row r="72" ht="14.25" spans="1:16">
      <c r="A72" s="18" t="s">
        <v>798</v>
      </c>
      <c r="B72" s="17"/>
      <c r="C72" s="17"/>
      <c r="D72" s="17"/>
      <c r="E72" s="17"/>
      <c r="F72" s="17"/>
      <c r="G72" s="17"/>
      <c r="H72" s="17"/>
      <c r="I72" s="26">
        <v>1</v>
      </c>
      <c r="J72" s="27">
        <v>8</v>
      </c>
      <c r="K72" s="27">
        <v>2</v>
      </c>
      <c r="L72" s="27">
        <v>1</v>
      </c>
      <c r="M72" s="27">
        <v>15</v>
      </c>
      <c r="N72" s="27">
        <v>3</v>
      </c>
      <c r="O72" s="27">
        <v>1</v>
      </c>
      <c r="P72" s="28">
        <v>1</v>
      </c>
    </row>
    <row r="73" spans="1:21">
      <c r="A73" s="19" t="s">
        <v>798</v>
      </c>
      <c r="B73" s="20"/>
      <c r="C73" s="20"/>
      <c r="D73" s="20"/>
      <c r="E73" s="20"/>
      <c r="F73" s="20"/>
      <c r="G73" s="20"/>
      <c r="H73" s="20"/>
      <c r="I73" s="29">
        <v>4</v>
      </c>
      <c r="J73" s="30">
        <v>4</v>
      </c>
      <c r="K73" s="30">
        <v>1</v>
      </c>
      <c r="L73" s="30">
        <v>9</v>
      </c>
      <c r="M73" s="30">
        <v>8</v>
      </c>
      <c r="N73" s="30">
        <v>2</v>
      </c>
      <c r="O73" s="30">
        <v>7</v>
      </c>
      <c r="P73" s="31">
        <v>1</v>
      </c>
      <c r="R73" s="15"/>
      <c r="S73" s="15"/>
      <c r="T73" s="15"/>
      <c r="U73" s="15"/>
    </row>
    <row r="74" ht="14.25" spans="1:21">
      <c r="A74" s="22"/>
      <c r="B74" s="23"/>
      <c r="C74" s="23"/>
      <c r="D74" s="23"/>
      <c r="E74" s="23"/>
      <c r="F74" s="23"/>
      <c r="G74" s="23"/>
      <c r="H74" s="23"/>
      <c r="I74" s="33"/>
      <c r="J74" s="34">
        <v>5</v>
      </c>
      <c r="K74" s="34"/>
      <c r="L74" s="34"/>
      <c r="M74" s="34"/>
      <c r="N74" s="34"/>
      <c r="O74" s="34"/>
      <c r="P74" s="35"/>
      <c r="R74" s="15"/>
      <c r="S74" s="15"/>
      <c r="T74" s="15"/>
      <c r="U74" s="15"/>
    </row>
    <row r="75" ht="14.25" spans="1:16">
      <c r="A75" s="18" t="s">
        <v>793</v>
      </c>
      <c r="B75" s="17"/>
      <c r="C75" s="17"/>
      <c r="D75" s="17"/>
      <c r="E75" s="17"/>
      <c r="F75" s="17"/>
      <c r="G75" s="17"/>
      <c r="H75" s="17"/>
      <c r="I75" s="26">
        <v>1</v>
      </c>
      <c r="J75" s="27"/>
      <c r="K75" s="27"/>
      <c r="L75" s="27"/>
      <c r="M75" s="27"/>
      <c r="N75" s="27"/>
      <c r="O75" s="27"/>
      <c r="P75" s="28"/>
    </row>
    <row r="76" spans="1:21">
      <c r="A76" s="19" t="s">
        <v>795</v>
      </c>
      <c r="B76" s="20"/>
      <c r="C76" s="20"/>
      <c r="D76" s="20"/>
      <c r="E76" s="20"/>
      <c r="F76" s="20"/>
      <c r="G76" s="20"/>
      <c r="H76" s="20"/>
      <c r="I76" s="29">
        <v>11</v>
      </c>
      <c r="J76" s="30">
        <v>4</v>
      </c>
      <c r="K76" s="30">
        <v>6</v>
      </c>
      <c r="L76" s="30">
        <v>4</v>
      </c>
      <c r="M76" s="30">
        <v>1</v>
      </c>
      <c r="N76" s="30">
        <v>3</v>
      </c>
      <c r="O76" s="30">
        <v>25</v>
      </c>
      <c r="P76" s="31">
        <v>9</v>
      </c>
      <c r="R76" s="15"/>
      <c r="S76" s="15"/>
      <c r="T76" s="15"/>
      <c r="U76" s="15"/>
    </row>
    <row r="77" spans="1:21">
      <c r="A77" s="21"/>
      <c r="J77" s="14">
        <v>1</v>
      </c>
      <c r="K77" s="14">
        <v>5</v>
      </c>
      <c r="L77" s="14">
        <v>5</v>
      </c>
      <c r="M77" s="14">
        <v>6</v>
      </c>
      <c r="N77" s="14">
        <v>5</v>
      </c>
      <c r="O77" s="14">
        <v>2</v>
      </c>
      <c r="P77" s="32">
        <v>2</v>
      </c>
      <c r="R77" s="15"/>
      <c r="S77" s="15"/>
      <c r="T77" s="15"/>
      <c r="U77" s="15"/>
    </row>
    <row r="78" spans="1:21">
      <c r="A78" s="21"/>
      <c r="J78" s="14">
        <v>3</v>
      </c>
      <c r="K78" s="14">
        <v>6</v>
      </c>
      <c r="L78" s="14">
        <v>6</v>
      </c>
      <c r="M78" s="14">
        <v>6</v>
      </c>
      <c r="N78" s="14">
        <v>4</v>
      </c>
      <c r="O78" s="14">
        <v>1</v>
      </c>
      <c r="P78" s="32">
        <v>2</v>
      </c>
      <c r="R78" s="15"/>
      <c r="S78" s="15"/>
      <c r="T78" s="15"/>
      <c r="U78" s="15"/>
    </row>
    <row r="79" spans="1:21">
      <c r="A79" s="21"/>
      <c r="J79" s="14">
        <v>4</v>
      </c>
      <c r="K79" s="14">
        <v>11</v>
      </c>
      <c r="L79" s="14">
        <v>1</v>
      </c>
      <c r="M79" s="14">
        <v>5</v>
      </c>
      <c r="N79" s="14">
        <v>4</v>
      </c>
      <c r="O79" s="14">
        <v>13</v>
      </c>
      <c r="P79" s="32">
        <v>1</v>
      </c>
      <c r="R79" s="15"/>
      <c r="S79" s="15"/>
      <c r="T79" s="15"/>
      <c r="U79" s="15"/>
    </row>
    <row r="80" spans="1:21">
      <c r="A80" s="21"/>
      <c r="J80" s="14">
        <v>5</v>
      </c>
      <c r="K80" s="14">
        <v>13</v>
      </c>
      <c r="L80" s="14">
        <v>2</v>
      </c>
      <c r="M80" s="14">
        <v>6</v>
      </c>
      <c r="N80" s="14">
        <v>2</v>
      </c>
      <c r="O80" s="14">
        <v>5</v>
      </c>
      <c r="P80" s="32">
        <v>4</v>
      </c>
      <c r="R80" s="15"/>
      <c r="S80" s="15"/>
      <c r="T80" s="15"/>
      <c r="U80" s="15"/>
    </row>
    <row r="81" ht="14.25" spans="1:21">
      <c r="A81" s="21"/>
      <c r="B81" s="36"/>
      <c r="C81" s="36"/>
      <c r="D81" s="36"/>
      <c r="E81" s="36"/>
      <c r="F81" s="36"/>
      <c r="G81" s="36"/>
      <c r="H81" s="36"/>
      <c r="I81" s="40"/>
      <c r="J81" s="41">
        <v>2</v>
      </c>
      <c r="K81" s="41"/>
      <c r="L81" s="41"/>
      <c r="M81" s="41"/>
      <c r="N81" s="41"/>
      <c r="O81" s="41"/>
      <c r="P81" s="32"/>
      <c r="R81" s="15"/>
      <c r="S81" s="15"/>
      <c r="T81" s="15"/>
      <c r="U81" s="15"/>
    </row>
    <row r="82" spans="1:21">
      <c r="A82" s="19" t="s">
        <v>796</v>
      </c>
      <c r="B82" s="20"/>
      <c r="C82" s="20"/>
      <c r="D82" s="20"/>
      <c r="E82" s="20"/>
      <c r="F82" s="20"/>
      <c r="G82" s="20"/>
      <c r="H82" s="20"/>
      <c r="I82" s="29">
        <v>2</v>
      </c>
      <c r="J82" s="30">
        <v>1</v>
      </c>
      <c r="K82" s="30">
        <v>11</v>
      </c>
      <c r="L82" s="30">
        <v>4</v>
      </c>
      <c r="M82" s="30">
        <v>1</v>
      </c>
      <c r="N82" s="30">
        <v>2</v>
      </c>
      <c r="O82" s="30">
        <v>3</v>
      </c>
      <c r="P82" s="31">
        <v>7</v>
      </c>
      <c r="R82" s="15"/>
      <c r="S82" s="15"/>
      <c r="T82" s="15"/>
      <c r="U82" s="15"/>
    </row>
    <row r="83" ht="14.25" spans="1:21">
      <c r="A83" s="22"/>
      <c r="B83" s="23"/>
      <c r="C83" s="23"/>
      <c r="D83" s="23"/>
      <c r="E83" s="23"/>
      <c r="F83" s="23"/>
      <c r="G83" s="23"/>
      <c r="H83" s="23"/>
      <c r="I83" s="33"/>
      <c r="J83" s="34">
        <v>18</v>
      </c>
      <c r="K83" s="34">
        <v>1</v>
      </c>
      <c r="L83" s="34">
        <v>5</v>
      </c>
      <c r="M83" s="34"/>
      <c r="N83" s="34"/>
      <c r="O83" s="34"/>
      <c r="P83" s="35"/>
      <c r="R83" s="15"/>
      <c r="S83" s="15"/>
      <c r="T83" s="15"/>
      <c r="U83" s="15"/>
    </row>
    <row r="84" ht="14.25" spans="1:16">
      <c r="A84" s="18" t="s">
        <v>797</v>
      </c>
      <c r="B84" s="37"/>
      <c r="C84" s="37"/>
      <c r="D84" s="37"/>
      <c r="E84" s="37"/>
      <c r="F84" s="37"/>
      <c r="G84" s="37"/>
      <c r="H84" s="37"/>
      <c r="I84" s="42">
        <v>2</v>
      </c>
      <c r="J84" s="43">
        <v>1</v>
      </c>
      <c r="K84" s="43">
        <v>3</v>
      </c>
      <c r="L84" s="43"/>
      <c r="M84" s="43"/>
      <c r="N84" s="43"/>
      <c r="O84" s="43"/>
      <c r="P84" s="44"/>
    </row>
    <row r="85" spans="1:21">
      <c r="A85" s="19" t="s">
        <v>803</v>
      </c>
      <c r="B85" s="38"/>
      <c r="C85" s="38"/>
      <c r="D85" s="38"/>
      <c r="E85" s="38"/>
      <c r="F85" s="38"/>
      <c r="G85" s="38"/>
      <c r="H85" s="38"/>
      <c r="I85" s="45">
        <v>2</v>
      </c>
      <c r="J85" s="46">
        <v>4</v>
      </c>
      <c r="K85" s="46">
        <v>3</v>
      </c>
      <c r="L85" s="46">
        <v>3</v>
      </c>
      <c r="M85" s="46">
        <v>1</v>
      </c>
      <c r="N85" s="46">
        <v>6</v>
      </c>
      <c r="O85" s="46">
        <v>2</v>
      </c>
      <c r="P85" s="47">
        <v>6</v>
      </c>
      <c r="R85" s="15"/>
      <c r="S85" s="15"/>
      <c r="T85" s="15"/>
      <c r="U85" s="15"/>
    </row>
    <row r="86" ht="14.25" spans="1:21">
      <c r="A86" s="22"/>
      <c r="B86" s="39"/>
      <c r="C86" s="39"/>
      <c r="D86" s="39"/>
      <c r="E86" s="39"/>
      <c r="F86" s="39"/>
      <c r="G86" s="39"/>
      <c r="H86" s="39"/>
      <c r="I86" s="48"/>
      <c r="J86" s="49">
        <v>3</v>
      </c>
      <c r="K86" s="49">
        <v>5</v>
      </c>
      <c r="L86" s="49"/>
      <c r="M86" s="49"/>
      <c r="N86" s="49"/>
      <c r="O86" s="49"/>
      <c r="P86" s="50"/>
      <c r="R86" s="15"/>
      <c r="S86" s="15"/>
      <c r="T86" s="15"/>
      <c r="U86" s="15"/>
    </row>
    <row r="87" spans="1:21">
      <c r="A87" s="19" t="s">
        <v>802</v>
      </c>
      <c r="B87" s="38"/>
      <c r="C87" s="38"/>
      <c r="D87" s="38"/>
      <c r="E87" s="38"/>
      <c r="F87" s="38"/>
      <c r="G87" s="38"/>
      <c r="H87" s="38"/>
      <c r="I87" s="45">
        <v>1</v>
      </c>
      <c r="J87" s="46">
        <v>2</v>
      </c>
      <c r="K87" s="46">
        <v>4</v>
      </c>
      <c r="L87" s="46">
        <v>5</v>
      </c>
      <c r="M87" s="46">
        <v>5</v>
      </c>
      <c r="N87" s="46">
        <v>1</v>
      </c>
      <c r="O87" s="46">
        <v>3</v>
      </c>
      <c r="P87" s="47">
        <v>2</v>
      </c>
      <c r="R87" s="15"/>
      <c r="S87" s="15"/>
      <c r="T87" s="15"/>
      <c r="U87" s="15"/>
    </row>
    <row r="88" ht="14.25" spans="1:21">
      <c r="A88" s="22"/>
      <c r="B88" s="39"/>
      <c r="C88" s="39"/>
      <c r="D88" s="39"/>
      <c r="E88" s="39"/>
      <c r="F88" s="39"/>
      <c r="G88" s="39"/>
      <c r="H88" s="39"/>
      <c r="I88" s="48"/>
      <c r="J88" s="49">
        <v>3</v>
      </c>
      <c r="K88" s="49">
        <v>1</v>
      </c>
      <c r="L88" s="49">
        <v>4</v>
      </c>
      <c r="M88" s="49"/>
      <c r="N88" s="49"/>
      <c r="O88" s="49"/>
      <c r="P88" s="50"/>
      <c r="R88" s="15"/>
      <c r="S88" s="15"/>
      <c r="T88" s="15"/>
      <c r="U88" s="15"/>
    </row>
    <row r="89" ht="14.25" spans="1:16">
      <c r="A89" s="18" t="s">
        <v>801</v>
      </c>
      <c r="B89" s="17"/>
      <c r="C89" s="17"/>
      <c r="D89" s="17"/>
      <c r="E89" s="17"/>
      <c r="F89" s="17"/>
      <c r="G89" s="17"/>
      <c r="H89" s="17"/>
      <c r="I89" s="26">
        <v>3</v>
      </c>
      <c r="J89" s="27"/>
      <c r="K89" s="27">
        <v>14</v>
      </c>
      <c r="L89" s="27"/>
      <c r="M89" s="27"/>
      <c r="N89" s="27"/>
      <c r="O89" s="27"/>
      <c r="P89" s="28"/>
    </row>
    <row r="90" spans="1:18">
      <c r="A90" s="1"/>
      <c r="B90">
        <f>SUM(B4:B89)</f>
        <v>1</v>
      </c>
      <c r="C90">
        <f t="shared" ref="C90:P90" si="0">SUM(C4:C89)</f>
        <v>9</v>
      </c>
      <c r="D90">
        <f t="shared" si="0"/>
        <v>12</v>
      </c>
      <c r="E90">
        <f t="shared" si="0"/>
        <v>27</v>
      </c>
      <c r="F90">
        <f t="shared" si="0"/>
        <v>56</v>
      </c>
      <c r="G90">
        <f t="shared" si="0"/>
        <v>67</v>
      </c>
      <c r="H90">
        <f t="shared" si="0"/>
        <v>32</v>
      </c>
      <c r="I90">
        <f t="shared" si="0"/>
        <v>43</v>
      </c>
      <c r="J90">
        <f t="shared" si="0"/>
        <v>88</v>
      </c>
      <c r="K90">
        <f t="shared" si="0"/>
        <v>103</v>
      </c>
      <c r="L90">
        <f t="shared" si="0"/>
        <v>157</v>
      </c>
      <c r="M90">
        <f t="shared" si="0"/>
        <v>137</v>
      </c>
      <c r="N90">
        <f t="shared" si="0"/>
        <v>78</v>
      </c>
      <c r="O90">
        <f t="shared" si="0"/>
        <v>77</v>
      </c>
      <c r="P90">
        <f t="shared" si="0"/>
        <v>45</v>
      </c>
      <c r="R90">
        <f>SUM(B90:P90)</f>
        <v>932</v>
      </c>
    </row>
  </sheetData>
  <mergeCells count="69">
    <mergeCell ref="A1:AF1"/>
    <mergeCell ref="A2:U2"/>
    <mergeCell ref="W2:AF2"/>
    <mergeCell ref="A66:Q66"/>
    <mergeCell ref="A5:A11"/>
    <mergeCell ref="A12:A14"/>
    <mergeCell ref="A15:A17"/>
    <mergeCell ref="A19:A47"/>
    <mergeCell ref="A48:A53"/>
    <mergeCell ref="A54:A58"/>
    <mergeCell ref="A59:A61"/>
    <mergeCell ref="A68:A70"/>
    <mergeCell ref="A73:A74"/>
    <mergeCell ref="A76:A81"/>
    <mergeCell ref="A82:A83"/>
    <mergeCell ref="A85:A86"/>
    <mergeCell ref="A87:A88"/>
    <mergeCell ref="R5:R11"/>
    <mergeCell ref="R12:R14"/>
    <mergeCell ref="R15:R17"/>
    <mergeCell ref="R19:R47"/>
    <mergeCell ref="R48:R53"/>
    <mergeCell ref="R54:R58"/>
    <mergeCell ref="R59:R61"/>
    <mergeCell ref="R68:R70"/>
    <mergeCell ref="R73:R74"/>
    <mergeCell ref="R76:R81"/>
    <mergeCell ref="R82:R83"/>
    <mergeCell ref="R85:R86"/>
    <mergeCell ref="R87:R88"/>
    <mergeCell ref="S5:S11"/>
    <mergeCell ref="S12:S14"/>
    <mergeCell ref="S15:S17"/>
    <mergeCell ref="S19:S47"/>
    <mergeCell ref="S48:S53"/>
    <mergeCell ref="S54:S58"/>
    <mergeCell ref="S59:S61"/>
    <mergeCell ref="S68:S70"/>
    <mergeCell ref="S73:S74"/>
    <mergeCell ref="S76:S81"/>
    <mergeCell ref="S82:S83"/>
    <mergeCell ref="S85:S86"/>
    <mergeCell ref="S87:S88"/>
    <mergeCell ref="T5:T11"/>
    <mergeCell ref="T12:T14"/>
    <mergeCell ref="T15:T17"/>
    <mergeCell ref="T19:T47"/>
    <mergeCell ref="T48:T53"/>
    <mergeCell ref="T54:T58"/>
    <mergeCell ref="T59:T61"/>
    <mergeCell ref="T68:T70"/>
    <mergeCell ref="T73:T74"/>
    <mergeCell ref="T76:T81"/>
    <mergeCell ref="T82:T83"/>
    <mergeCell ref="T85:T86"/>
    <mergeCell ref="T87:T88"/>
    <mergeCell ref="U5:U11"/>
    <mergeCell ref="U12:U14"/>
    <mergeCell ref="U15:U17"/>
    <mergeCell ref="U19:U47"/>
    <mergeCell ref="U48:U53"/>
    <mergeCell ref="U54:U58"/>
    <mergeCell ref="U59:U61"/>
    <mergeCell ref="U68:U70"/>
    <mergeCell ref="U73:U74"/>
    <mergeCell ref="U76:U81"/>
    <mergeCell ref="U82:U83"/>
    <mergeCell ref="U85:U86"/>
    <mergeCell ref="U87:U88"/>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首页</vt:lpstr>
      <vt:lpstr>总结</vt:lpstr>
      <vt:lpstr>攻速</vt:lpstr>
      <vt:lpstr>战士伤害对比</vt:lpstr>
      <vt:lpstr>法师伤害对比</vt:lpstr>
      <vt:lpstr>伤害的效率</vt:lpstr>
      <vt:lpstr>词缀</vt:lpstr>
      <vt:lpstr>费用</vt:lpstr>
      <vt:lpstr>凝晶石乾坤石</vt:lpstr>
      <vt:lpstr>三职业发展史</vt:lpstr>
      <vt:lpstr>手工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小鱼的三</dc:creator>
  <cp:lastModifiedBy>小鱼的三</cp:lastModifiedBy>
  <dcterms:created xsi:type="dcterms:W3CDTF">2021-01-20T18:06:00Z</dcterms:created>
  <dcterms:modified xsi:type="dcterms:W3CDTF">2021-02-18T07:17:46Z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2052-11.1.0.8002</vt:lpwstr>
  </property>
</Properties>
</file>