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<sst xmlns="http://schemas.openxmlformats.org/spreadsheetml/2006/main" count="4654" uniqueCount="2063">
  <si>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</si>
  <si>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</si>
  <si>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</si>
  <si>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</si>
  <si>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</si>
  <si>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</si>
  <si>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</si>
  <si>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</si>
  <si>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</si>
  <si>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</si>
  <si>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</si>
  <si>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</si>
  <si>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</si>
  <si>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</si>
  <si>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</si>
  <si>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</si>
  <si>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</si>
  <si>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</si>
  <si>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</si>
  <si>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</si>
  <si>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</si>
  <si>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</si>
  <si>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</si>
  <si>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</si>
  <si>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</si>
  <si>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</si>
  <si>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</si>
  <si>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</si>
  <si>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</si>
  <si>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</si>
  <si>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</si>
  <si>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</si>
  <si>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</si>
  <si>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</si>
  <si>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</si>
  <si>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</si>
  <si>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</si>
  <si>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</si>
  <si>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</si>
  <si>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</si>
  <si>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</si>
  <si>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</si>
  <si>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</si>
  <si>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</si>
  <si>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</si>
  <si>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</si>
  <si>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</si>
  <si>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</si>
  <si>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</si>
  <si>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</si>
  <si>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</si>
  <si>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</si>
  <si>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</si>
  <si>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</si>
  <si>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</si>
  <si>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</si>
  <si>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</si>
  <si>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</si>
  <si>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</si>
  <si>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</si>
  <si>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</si>
  <si>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</si>
  <si>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</si>
  <si>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</si>
  <si>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</si>
  <si>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</si>
  <si>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</si>
  <si>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</si>
  <si>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</si>
  <si>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</si>
  <si>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</si>
  <si>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</si>
  <si>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</si>
  <si>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</si>
  <si>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</si>
  <si>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</si>
  <si>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</si>
  <si>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</si>
  <si>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</si>
  <si>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</si>
  <si>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</si>
  <si>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</si>
  <si>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</si>
  <si>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</si>
  <si>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</si>
  <si>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</si>
  <si>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</si>
  <si>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</si>
  <si>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</si>
  <si>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</si>
  <si>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</si>
  <si>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</si>
  <si>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</si>
  <si>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</si>
  <si>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</si>
  <si>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</si>
  <si>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</si>
  <si>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</si>
  <si>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</si>
  <si>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</si>
  <si>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</si>
  <si>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</si>
  <si>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</si>
  <si>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</si>
  <si>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</si>
  <si>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</si>
  <si>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</si>
  <si>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</si>
  <si>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</si>
  <si>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</si>
  <si>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</si>
  <si>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</si>
  <si>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</si>
  <si>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</si>
  <si>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</si>
  <si>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</si>
  <si>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</si>
  <si>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</si>
  <si>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</si>
  <si>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</si>
  <si>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</si>
  <si>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</si>
  <si>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</si>
  <si>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</si>
  <si>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</si>
  <si>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</si>
  <si>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</si>
  <si>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</si>
  <si>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</si>
  <si>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</si>
  <si>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</si>
  <si>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</si>
  <si>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</si>
  <si>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</si>
  <si>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</si>
  <si>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</si>
  <si>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</si>
  <si>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</si>
  <si>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</si>
  <si>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</si>
  <si>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</si>
  <si>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</si>
  <si>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</si>
  <si>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</si>
  <si>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</si>
  <si>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</si>
  <si>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</si>
  <si>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</si>
  <si>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</si>
  <si>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</si>
  <si>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</si>
  <si>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</si>
  <si>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</si>
  <si>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</si>
  <si>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</si>
  <si>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</si>
  <si>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</si>
  <si>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</si>
  <si>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</si>
  <si>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</si>
  <si>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</si>
  <si>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</si>
  <si>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</si>
  <si>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</si>
  <si>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</si>
  <si>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</si>
  <si>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</si>
  <si>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</si>
  <si>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</si>
  <si>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</si>
  <si>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</si>
  <si>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</si>
  <si>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</si>
  <si>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</si>
  <si>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</si>
  <si>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</si>
  <si>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</si>
  <si>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</si>
  <si>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</si>
  <si>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</si>
  <si>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</si>
  <si>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</si>
  <si>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</si>
  <si>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</si>
  <si>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</si>
  <si>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</si>
  <si>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</si>
  <si>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</si>
  <si>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</si>
  <si>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</si>
  <si>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</si>
  <si>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</si>
  <si>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</si>
  <si>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</si>
  <si>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</si>
  <si>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</si>
  <si>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</si>
  <si>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</si>
  <si>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</si>
  <si>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</si>
  <si>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</si>
  <si>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</si>
  <si>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</si>
  <si>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</si>
  <si>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</si>
  <si>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</si>
  <si>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</si>
  <si>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</si>
  <si>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</si>
  <si>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</si>
  <si>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</si>
  <si>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</si>
  <si>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</si>
  <si>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</si>
  <si>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</si>
  <si>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</si>
  <si>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</si>
  <si>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</si>
  <si>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</si>
  <si>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</si>
  <si>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</si>
  <si>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</si>
  <si>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</si>
  <si>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</si>
  <si>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</si>
  <si>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</si>
  <si>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</si>
  <si>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</si>
  <si>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</si>
  <si>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</si>
  <si>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</si>
  <si>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</si>
  <si>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</si>
  <si>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</si>
  <si>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</si>
  <si>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</si>
  <si>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</si>
  <si>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</si>
  <si>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</si>
  <si>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</si>
  <si>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</si>
  <si>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</si>
  <si>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</si>
  <si>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</si>
  <si>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</si>
  <si>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</si>
  <si>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</si>
  <si>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</si>
  <si>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</si>
  <si>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</si>
  <si>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</si>
  <si>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</si>
  <si>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</si>
  <si>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</si>
  <si>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</si>
  <si>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</si>
  <si>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</si>
  <si>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</si>
  <si>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</si>
  <si>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</si>
  <si>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</si>
  <si>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</si>
  <si>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</si>
  <si>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</si>
  <si>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</si>
  <si>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</si>
  <si>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</si>
  <si>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</si>
  <si>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</si>
  <si>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</si>
  <si>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</si>
  <si>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</si>
  <si>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</si>
  <si>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</si>
  <si>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</si>
  <si>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</si>
  <si>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</si>
  <si>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</si>
  <si>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</si>
  <si>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</si>
  <si>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</si>
  <si>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</si>
  <si>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</si>
  <si>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</si>
  <si>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</si>
  <si>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</si>
  <si>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</si>
  <si>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</si>
  <si>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</si>
  <si>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</si>
  <si>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</si>
  <si>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</si>
  <si>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</si>
  <si>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</si>
  <si>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</si>
  <si>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</si>
  <si>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</si>
  <si>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</si>
  <si>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</si>
  <si>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</si>
  <si>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</si>
  <si>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</si>
  <si>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</si>
  <si>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</si>
  <si>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</si>
  <si>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</si>
  <si>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</si>
  <si>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</si>
  <si>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</si>
  <si>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</si>
  <si>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</si>
  <si>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</si>
  <si>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</si>
  <si>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</si>
  <si>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</si>
  <si>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</si>
  <si>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</si>
  <si>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</si>
  <si>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</si>
  <si>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</si>
  <si>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</si>
  <si>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</si>
  <si>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</si>
  <si>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</si>
  <si>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</si>
  <si>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</si>
  <si>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</si>
  <si>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</si>
  <si>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</si>
  <si>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</si>
  <si>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</si>
  <si>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</si>
  <si>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</si>
  <si>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</si>
  <si>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</si>
  <si>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</si>
  <si>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</si>
  <si>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</si>
  <si>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</si>
  <si>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</si>
  <si>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</si>
  <si>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</si>
  <si>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</si>
  <si>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</si>
  <si>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</si>
  <si>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</si>
  <si>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</si>
  <si>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</si>
  <si>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</si>
  <si>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</si>
  <si>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</si>
  <si>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</si>
  <si>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</si>
  <si>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</si>
  <si>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</si>
  <si>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</si>
  <si>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</si>
  <si>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</si>
  <si>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</si>
  <si>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</si>
  <si>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</si>
  <si>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</si>
  <si>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</si>
  <si>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</si>
  <si>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</si>
  <si>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</si>
  <si>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</si>
  <si>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</si>
  <si>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</si>
  <si>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</si>
  <si>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</si>
  <si>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</si>
  <si>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</si>
  <si>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</si>
  <si>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</si>
  <si>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</si>
  <si>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</si>
  <si>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</si>
  <si>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</si>
  <si>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</si>
  <si>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</si>
  <si>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</si>
  <si>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</si>
  <si>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</si>
  <si>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</si>
  <si>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</si>
  <si>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</si>
  <si>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</si>
  <si>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</si>
  <si>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</si>
  <si>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</si>
  <si>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</si>
  <si>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</si>
  <si>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</si>
  <si>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</si>
  <si>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</si>
  <si>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</si>
  <si>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</si>
  <si>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</si>
  <si>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</si>
  <si>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</si>
  <si>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</si>
  <si>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</si>
  <si>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</si>
  <si>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</si>
  <si>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</si>
  <si>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</si>
  <si>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</si>
  <si>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</si>
  <si>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</si>
  <si>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</si>
  <si>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</si>
  <si>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</si>
  <si>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</si>
  <si>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</si>
  <si>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</si>
  <si>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</si>
  <si>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</si>
  <si>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</si>
  <si>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</si>
  <si>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</si>
  <si>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</si>
  <si>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</si>
  <si>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</si>
  <si>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</si>
  <si>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</si>
  <si>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</si>
  <si>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</si>
  <si>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</si>
  <si>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</si>
  <si>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</si>
  <si>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</si>
  <si>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</si>
  <si>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</si>
  <si>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</si>
  <si>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</si>
  <si>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</si>
  <si>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</si>
  <si>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</si>
  <si>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</si>
  <si>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</si>
  <si>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</si>
  <si>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</si>
  <si>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</si>
  <si>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</si>
  <si>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</si>
  <si>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</si>
  <si>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</si>
  <si>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</si>
  <si>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</si>
  <si>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</si>
  <si>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</si>
  <si>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</si>
  <si>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</si>
  <si>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</si>
  <si>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</si>
  <si>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</si>
  <si>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</si>
  <si>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</si>
  <si>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</si>
  <si>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</si>
  <si>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</si>
  <si>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</si>
  <si>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</si>
  <si>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</si>
  <si>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</si>
  <si>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</si>
  <si>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</si>
  <si>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</si>
  <si>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</si>
  <si>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</si>
  <si>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</si>
  <si>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</si>
  <si>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</si>
  <si>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</si>
  <si>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</si>
  <si>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</si>
  <si>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</si>
  <si>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</si>
  <si>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</si>
  <si>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</si>
  <si>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</si>
  <si>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</si>
  <si>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</si>
  <si>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</si>
  <si>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</si>
  <si>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</si>
  <si>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</si>
  <si>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</si>
  <si>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</si>
  <si>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</si>
  <si>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</si>
  <si>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</si>
  <si>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</si>
  <si>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</si>
  <si>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</si>
  <si>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</si>
  <si>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</si>
  <si>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</si>
  <si>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</si>
  <si>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</si>
  <si>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</si>
  <si>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</si>
  <si>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</si>
  <si>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</si>
  <si>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</si>
  <si>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</si>
  <si>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</si>
  <si>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</si>
  <si>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</si>
  <si>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</si>
  <si>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</si>
  <si>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</si>
  <si>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</si>
  <si>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</si>
  <si>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</si>
  <si>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</si>
  <si>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</si>
  <si>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</si>
  <si>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</si>
  <si>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</si>
  <si>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</si>
  <si>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</si>
  <si>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</si>
  <si>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</si>
  <si>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</si>
  <si>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</si>
  <si>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</si>
  <si>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</si>
  <si>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</si>
  <si>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</si>
  <si>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</si>
  <si>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</si>
  <si>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</si>
  <si>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</si>
  <si>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</si>
  <si>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</si>
  <si>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</si>
  <si>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</si>
  <si>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</si>
  <si>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</si>
  <si>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</si>
  <si>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</si>
  <si>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</si>
  <si>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</si>
  <si>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</si>
  <si>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</si>
  <si>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</si>
  <si>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</si>
  <si>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</si>
  <si>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</si>
  <si>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</si>
  <si>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</si>
  <si>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</si>
  <si>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</si>
  <si>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</si>
  <si>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</si>
  <si>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</si>
  <si>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</si>
  <si>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</si>
  <si>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</si>
  <si>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</si>
  <si>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</si>
  <si>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</si>
  <si>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</si>
  <si>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</si>
  <si>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</si>
  <si>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</si>
  <si>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</si>
  <si>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</si>
  <si>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</si>
  <si>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</si>
  <si>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</si>
  <si>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</si>
  <si>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</si>
  <si>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</si>
  <si>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</si>
  <si>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</si>
  <si>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</si>
  <si>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</si>
  <si>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</si>
  <si>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</si>
  <si>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</si>
  <si>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</si>
  <si>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</si>
  <si>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</si>
  <si>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</si>
  <si>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</si>
  <si>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</si>
  <si>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</si>
  <si>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</si>
  <si>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</si>
  <si>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</si>
  <si>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</si>
  <si>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</si>
  <si>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</si>
  <si>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</si>
  <si>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</si>
  <si>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</si>
  <si>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</si>
  <si>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</si>
  <si>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</si>
  <si>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</si>
  <si>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</si>
  <si>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</si>
  <si>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</si>
  <si>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</si>
  <si>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</si>
  <si>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</si>
  <si>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</si>
  <si>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</si>
  <si>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</si>
  <si>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</si>
  <si>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</si>
  <si>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</si>
  <si>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</si>
  <si>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</si>
  <si>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</si>
  <si>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</si>
  <si>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</si>
  <si>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</si>
  <si>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</si>
  <si>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</si>
  <si>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</si>
  <si>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</si>
  <si>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</si>
  <si>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</si>
  <si>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</si>
  <si>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</si>
  <si>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</si>
  <si>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</si>
  <si>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</si>
  <si>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</si>
  <si>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</si>
  <si>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</si>
  <si>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</si>
  <si>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</si>
  <si>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</si>
  <si>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</si>
  <si>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</si>
  <si>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</si>
  <si>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</si>
  <si>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</si>
  <si>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</si>
  <si>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</si>
  <si>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</si>
  <si>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</si>
  <si>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</si>
  <si>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</si>
  <si>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</si>
  <si>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</si>
  <si>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</si>
  <si>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</si>
  <si>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</si>
  <si>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</si>
  <si>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</si>
  <si>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</si>
  <si>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</si>
  <si>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</si>
  <si>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</si>
  <si>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</si>
  <si>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</si>
  <si>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</si>
  <si>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</si>
  <si>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</si>
  <si>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</si>
  <si>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</si>
  <si>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</si>
  <si>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</si>
  <si>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</si>
  <si>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</si>
  <si>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</si>
  <si>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</si>
  <si>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</si>
  <si>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</si>
  <si>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</si>
  <si>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</si>
  <si>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</si>
  <si>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</si>
  <si>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</si>
  <si>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</si>
  <si>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</si>
  <si>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</si>
  <si>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</si>
  <si>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</si>
  <si>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</si>
  <si>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</si>
  <si>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</si>
  <si>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</si>
  <si>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</si>
  <si>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</si>
  <si>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</si>
  <si>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</si>
  <si>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</si>
  <si>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</si>
  <si>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</si>
  <si>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</si>
  <si>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</si>
  <si>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</si>
  <si>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</si>
  <si>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</si>
  <si>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</si>
  <si>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</si>
  <si>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</si>
  <si>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</si>
  <si>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</si>
  <si>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</si>
  <si>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</si>
  <si>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</si>
  <si>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</si>
  <si>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</si>
  <si>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</si>
  <si>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</si>
  <si>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</si>
  <si>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</si>
  <si>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</si>
  <si>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</si>
  <si>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</si>
  <si>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</si>
  <si>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</si>
  <si>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</si>
  <si>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</si>
  <si>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</si>
  <si>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</si>
  <si>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</si>
  <si>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</si>
  <si>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</si>
  <si>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</si>
  <si>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</si>
  <si>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</si>
  <si>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</si>
  <si>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</si>
  <si>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</si>
  <si>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</si>
  <si>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</si>
  <si>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</si>
  <si>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</si>
  <si>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</si>
  <si>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</si>
  <si>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</si>
  <si>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</si>
  <si>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</si>
  <si>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</si>
  <si>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</si>
  <si>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</si>
  <si>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</si>
  <si>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</si>
  <si>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</si>
  <si>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</si>
  <si>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</si>
  <si>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</si>
  <si>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</si>
  <si>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</si>
  <si>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</si>
  <si>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</si>
  <si>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</si>
  <si>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</si>
  <si>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</si>
  <si>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</si>
  <si>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</si>
  <si>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</si>
  <si>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</si>
  <si>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</si>
  <si>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</si>
  <si>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</si>
  <si>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</si>
  <si>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</si>
  <si>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</si>
  <si>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</si>
  <si>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</si>
  <si>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</si>
  <si>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</si>
  <si>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</si>
  <si>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</si>
  <si>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</si>
  <si>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</si>
  <si>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</si>
  <si>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</si>
  <si>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</si>
  <si>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</si>
  <si>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</si>
  <si>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</si>
  <si>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</si>
  <si>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</si>
  <si>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</si>
  <si>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</si>
  <si>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</si>
  <si>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</si>
  <si>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</si>
  <si>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</si>
  <si>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</si>
  <si>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</si>
  <si>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</si>
  <si>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</si>
  <si>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</si>
  <si>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</si>
  <si>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</si>
  <si>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</si>
  <si>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</si>
  <si>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</si>
  <si>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</si>
  <si>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</si>
  <si>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</si>
  <si>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</si>
  <si>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</si>
  <si>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</si>
  <si>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</si>
  <si>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</si>
  <si>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</si>
  <si>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</si>
  <si>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</si>
  <si>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</si>
  <si>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</si>
  <si>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</si>
  <si>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</si>
  <si>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</si>
  <si>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</si>
  <si>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</si>
  <si>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</si>
  <si>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</si>
  <si>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</si>
  <si>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</si>
  <si>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</si>
  <si>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</si>
  <si>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</si>
  <si>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</si>
  <si>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</si>
  <si>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</si>
  <si>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</si>
  <si>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</si>
  <si>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</si>
  <si>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</si>
  <si>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</si>
  <si>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</si>
  <si>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</si>
  <si>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</si>
  <si>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</si>
  <si>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</si>
  <si>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</si>
  <si>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</si>
  <si>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</si>
  <si>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</si>
  <si>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</si>
  <si>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</si>
  <si>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</si>
  <si>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</si>
  <si>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</si>
  <si>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</si>
  <si>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</si>
  <si>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</si>
  <si>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</si>
  <si>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</si>
  <si>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</si>
  <si>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</si>
  <si>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</si>
  <si>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</si>
  <si>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</si>
  <si>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</si>
  <si>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</si>
  <si>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</si>
  <si>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</si>
  <si>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</si>
  <si>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</si>
  <si>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</si>
  <si>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</si>
  <si>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</si>
  <si>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</si>
  <si>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</si>
  <si>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</si>
  <si>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</si>
  <si>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</si>
  <si>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</si>
  <si>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</si>
  <si>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</si>
  <si>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</si>
  <si>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</si>
  <si>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</si>
  <si>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</si>
  <si>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</si>
  <si>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</si>
  <si>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</si>
  <si>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</si>
  <si>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</si>
  <si>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</si>
  <si>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</si>
  <si>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</si>
  <si>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</si>
  <si>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</si>
  <si>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</si>
  <si>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</si>
  <si>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</si>
  <si>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</si>
  <si>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</si>
  <si>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</si>
  <si>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</si>
  <si>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</si>
  <si>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</si>
  <si>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</si>
  <si>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</si>
  <si>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</si>
  <si>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</si>
  <si>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</si>
  <si>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</si>
  <si>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</si>
  <si>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</si>
  <si>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</si>
  <si>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</si>
  <si>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</si>
  <si>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</si>
  <si>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</si>
  <si>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</si>
  <si>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</si>
  <si>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</si>
  <si>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</si>
  <si>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</si>
  <si>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</si>
  <si>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</si>
  <si>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</si>
  <si>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</si>
  <si>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</si>
  <si>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</si>
  <si>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</si>
  <si>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</si>
  <si>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</si>
  <si>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</si>
  <si>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</si>
  <si>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</si>
  <si>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</si>
  <si>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</si>
  <si>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</si>
  <si>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</si>
  <si>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</si>
  <si>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</si>
  <si>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</si>
  <si>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</si>
  <si>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</si>
  <si>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</si>
  <si>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</si>
  <si>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</si>
  <si>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</si>
  <si>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</si>
  <si>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</si>
  <si>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</si>
  <si>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</si>
  <si>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</si>
  <si>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</si>
  <si>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</si>
  <si>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</si>
  <si>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</si>
  <si>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</si>
  <si>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</si>
  <si>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</si>
  <si>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</si>
  <si>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</si>
  <si>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</si>
  <si>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</si>
  <si>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</si>
  <si>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</si>
  <si>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</si>
  <si>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</si>
  <si>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</si>
  <si>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</si>
  <si>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</si>
  <si>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</si>
  <si>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</si>
  <si>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</si>
  <si>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</si>
  <si>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</si>
  <si>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</si>
  <si>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</si>
  <si>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</si>
  <si>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</si>
  <si>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</si>
  <si>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</si>
  <si>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</si>
  <si>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</si>
  <si>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</si>
  <si>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</si>
  <si>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</si>
  <si>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</si>
  <si>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</si>
  <si>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</si>
  <si>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</si>
  <si>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</si>
  <si>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</si>
  <si>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</si>
  <si>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</si>
  <si>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</si>
  <si>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</si>
  <si>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</si>
  <si>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</si>
  <si>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</si>
  <si>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</si>
  <si>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</si>
  <si>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</si>
  <si>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</si>
  <si>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</si>
  <si>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</si>
  <si>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</si>
  <si>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</si>
  <si>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</si>
  <si>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</si>
  <si>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</si>
  <si>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</si>
  <si>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</si>
  <si>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</si>
  <si>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</si>
  <si>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</si>
  <si>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</si>
  <si>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</si>
  <si>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</si>
  <si>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</si>
  <si>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</si>
  <si>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</si>
  <si>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</si>
  <si>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</si>
  <si>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</si>
  <si>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</si>
  <si>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</si>
  <si>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</si>
  <si>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</si>
  <si>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</si>
  <si>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</si>
  <si>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</si>
  <si>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</si>
  <si>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</si>
  <si>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</si>
  <si>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</si>
  <si>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</si>
  <si>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</si>
  <si>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</si>
  <si>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</si>
  <si>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</si>
  <si>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</si>
  <si>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</si>
  <si>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</si>
  <si>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</si>
  <si>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</si>
  <si>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</si>
  <si>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</si>
  <si>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</si>
  <si>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</si>
  <si>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</si>
  <si>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</si>
  <si>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</si>
  <si>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</si>
  <si>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</si>
  <si>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</si>
  <si>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</si>
  <si>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</si>
  <si>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</si>
  <si>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</si>
  <si>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</si>
  <si>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</si>
  <si>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</si>
  <si>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</si>
  <si>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</si>
  <si>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</si>
  <si>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</si>
  <si>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</si>
  <si>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</si>
  <si>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</si>
  <si>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</si>
  <si>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</si>
  <si>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</si>
  <si>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</si>
  <si>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</si>
  <si>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</si>
  <si>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</si>
  <si>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</si>
  <si>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</si>
  <si>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</si>
  <si>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</si>
  <si>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</si>
  <si>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</si>
  <si>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</si>
  <si>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</si>
  <si>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</si>
  <si>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</si>
  <si>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</si>
  <si>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</si>
  <si>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</si>
  <si>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</si>
  <si>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</si>
  <si>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</si>
  <si>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</si>
  <si>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</si>
  <si>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</si>
  <si>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</si>
  <si>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</si>
  <si>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</si>
  <si>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</si>
  <si>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</si>
  <si>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</si>
  <si>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</si>
  <si>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</si>
  <si>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</si>
  <si>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</si>
  <si>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</si>
  <si>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</si>
  <si>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</si>
  <si>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</si>
  <si>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</si>
  <si>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</si>
  <si>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</si>
  <si>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</si>
  <si>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</si>
  <si>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</si>
  <si>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</si>
  <si>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</si>
  <si>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</si>
  <si>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</si>
  <si>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</si>
  <si>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</si>
  <si>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</si>
  <si>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</si>
  <si>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</si>
  <si>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</si>
  <si>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</si>
  <si>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</si>
  <si>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</si>
  <si>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</si>
  <si>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</si>
  <si>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</si>
  <si>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</si>
  <si>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</si>
  <si>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</si>
  <si>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</si>
  <si>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</si>
  <si>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</si>
  <si>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</si>
  <si>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</si>
  <si>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</si>
  <si>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</si>
  <si>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</si>
  <si>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</si>
  <si>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</si>
  <si>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</si>
  <si>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</si>
  <si>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</si>
  <si>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</si>
  <si>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</si>
  <si>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</si>
  <si>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</si>
  <si>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</si>
  <si>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</si>
  <si>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</si>
  <si>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</si>
  <si>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</si>
  <si>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</si>
  <si>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</si>
  <si>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</si>
  <si>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</si>
  <si>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</si>
  <si>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</si>
  <si>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</si>
  <si>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</si>
  <si>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</si>
  <si>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</si>
  <si>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</si>
  <si>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</si>
  <si>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</si>
  <si>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</si>
  <si>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</si>
  <si>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</si>
  <si>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</si>
  <si>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</si>
  <si>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</si>
  <si>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</si>
  <si>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</si>
  <si>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</si>
  <si>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</si>
  <si>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</si>
  <si>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</si>
  <si>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</si>
  <si>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</si>
  <si>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</si>
  <si>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</si>
  <si>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</si>
  <si>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</si>
  <si>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</si>
  <si>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</si>
  <si>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</si>
  <si>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</si>
  <si>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</si>
  <si>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</si>
  <si>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</si>
  <si>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</si>
  <si>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</si>
  <si>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</si>
  <si>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</si>
  <si>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</si>
  <si>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</si>
  <si>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</si>
  <si>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</si>
  <si>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</si>
  <si>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</si>
  <si>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</si>
  <si>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</si>
  <si>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</si>
  <si>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</si>
  <si>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</si>
  <si>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</si>
  <si>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</si>
  <si>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</si>
  <si>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</si>
  <si>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</si>
  <si>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</si>
  <si>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</si>
  <si>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</si>
  <si>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</si>
  <si>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</si>
  <si>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</si>
  <si>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</si>
  <si>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</si>
  <si>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</si>
  <si>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</si>
  <si>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</si>
  <si>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</si>
  <si>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</si>
  <si>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</si>
  <si>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</si>
  <si>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</si>
  <si>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</si>
  <si>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</si>
  <si>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</si>
  <si>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</si>
  <si>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</si>
  <si>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</si>
  <si>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</si>
  <si>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</si>
  <si>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</si>
  <si>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</si>
  <si>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</si>
  <si>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</si>
  <si>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</si>
  <si>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</si>
  <si>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</si>
  <si>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</si>
  <si>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</si>
  <si>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</si>
  <si>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</si>
  <si>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</si>
  <si>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</si>
  <si>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</si>
  <si>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</si>
  <si>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</si>
  <si>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</si>
  <si>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</si>
  <si>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</si>
  <si>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</si>
  <si>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</si>
  <si>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</si>
  <si>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</si>
  <si>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</si>
  <si>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</si>
  <si>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</si>
  <si>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</si>
  <si>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</si>
  <si>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</si>
  <si>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</si>
  <si>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</si>
  <si>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</si>
  <si>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</si>
  <si>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</si>
  <si>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</si>
  <si>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</si>
  <si>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</si>
  <si>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</si>
  <si>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</si>
  <si>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</si>
  <si>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</si>
  <si>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</si>
  <si>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</si>
  <si>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</si>
  <si>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</si>
  <si>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</si>
  <si>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</si>
  <si>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</si>
  <si>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</si>
  <si>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</si>
  <si>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</si>
  <si>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</si>
  <si>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</si>
  <si>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</si>
  <si>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</si>
  <si>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</si>
  <si>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</si>
  <si>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</si>
  <si>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</si>
  <si>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</si>
  <si>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</si>
  <si>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</si>
  <si>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</si>
  <si>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</si>
  <si>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</si>
  <si>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</si>
  <si>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</si>
  <si>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</si>
  <si>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</si>
  <si>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</si>
  <si>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</si>
  <si>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</si>
  <si>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</si>
  <si>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</si>
  <si>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</si>
  <si>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</si>
  <si>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</si>
  <si>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</si>
  <si>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</si>
  <si>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</si>
  <si>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</si>
  <si>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</si>
  <si>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</si>
  <si>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</si>
  <si>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</si>
  <si>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</si>
  <si>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</si>
  <si>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</si>
  <si>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</si>
  <si>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</si>
  <si>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</si>
  <si>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</si>
  <si>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</si>
  <si>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</si>
  <si>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</si>
  <si>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</si>
  <si>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</si>
  <si>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</si>
  <si>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</si>
  <si>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</si>
  <si>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</si>
  <si>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</si>
  <si>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</si>
  <si>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</si>
  <si>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</si>
  <si>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</si>
  <si>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</si>
  <si>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</si>
  <si>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</si>
  <si>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</si>
  <si>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</si>
  <si>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</si>
  <si>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</si>
  <si>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</si>
  <si>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</si>
  <si>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</si>
  <si>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</si>
  <si>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</si>
  <si>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</si>
  <si>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</si>
  <si>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</si>
  <si>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</si>
  <si>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</si>
  <si>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</si>
  <si>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</si>
  <si>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</si>
  <si>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</si>
  <si>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</si>
  <si>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</si>
  <si>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</si>
  <si>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</si>
  <si>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</si>
  <si>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</si>
  <si>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</si>
  <si>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</si>
  <si>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</si>
  <si>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</si>
  <si>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</si>
  <si>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</si>
  <si>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</si>
  <si>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</si>
  <si>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</si>
  <si>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</si>
  <si>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</si>
  <si>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</si>
  <si>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</si>
  <si>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</si>
  <si>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</si>
  <si>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</si>
  <si>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</si>
  <si>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</si>
  <si>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</si>
  <si>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</si>
  <si>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</si>
  <si>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</si>
  <si>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</si>
  <si>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</si>
  <si>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</si>
  <si>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</si>
  <si>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</si>
  <si>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</si>
  <si>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</si>
  <si>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</si>
  <si>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</si>
  <si>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</si>
  <si>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</si>
  <si>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</si>
  <si>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</si>
  <si>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</si>
  <si>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</si>
  <si>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</si>
  <si>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</si>
  <si>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</si>
  <si>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</si>
  <si>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</si>
  <si>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</si>
  <si>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</si>
  <si>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</si>
  <si>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</si>
  <si>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</si>
  <si>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</si>
  <si>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</si>
  <si>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</si>
  <si>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</si>
  <si>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</si>
  <si>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</si>
  <si>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</si>
  <si>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</si>
  <si>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</si>
  <si>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</si>
  <si>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</si>
  <si>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</si>
  <si>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</si>
  <si>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</si>
  <si>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</si>
  <si>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</si>
  <si>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</si>
  <si>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</si>
  <si>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</si>
  <si>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</si>
  <si>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</si>
  <si>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</si>
  <si>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</si>
  <si>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</si>
  <si>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</si>
  <si>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</si>
  <si>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</si>
  <si>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</si>
  <si>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</si>
  <si>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</si>
  <si>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</si>
  <si>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</si>
  <si>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</si>
  <si>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</si>
  <si>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</si>
  <si>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</si>
  <si>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</si>
  <si>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</si>
  <si>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</si>
  <si>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</si>
  <si>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</si>
  <si>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</si>
  <si>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</si>
  <si>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</si>
  <si>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</si>
  <si>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</si>
  <si>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</si>
  <si>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</si>
  <si>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</si>
  <si>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</si>
  <si>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</si>
  <si>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</si>
  <si>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</si>
  <si>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</si>
  <si>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</si>
  <si>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</si>
  <si>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</si>
  <si>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</si>
  <si>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</si>
  <si>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</si>
  <si>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</si>
  <si>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</si>
  <si>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</si>
  <si>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</si>
  <si>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</si>
  <si>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</si>
  <si>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</si>
  <si>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</si>
  <si>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</si>
  <si>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</si>
  <si>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</si>
  <si>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</si>
  <si>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</si>
  <si>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</si>
  <si>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</si>
  <si>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</si>
  <si>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</si>
  <si>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</si>
  <si>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</si>
  <si>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</si>
  <si>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</si>
  <si>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</si>
  <si>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</si>
  <si>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</si>
  <si>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</si>
  <si>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</si>
  <si>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</si>
  <si>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</si>
  <si>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</si>
  <si>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</si>
  <si>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</si>
  <si>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</si>
  <si>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</si>
  <si>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</si>
  <si>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</si>
  <si>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</si>
  <si>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</si>
  <si>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</si>
  <si>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</si>
  <si>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</si>
  <si>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</si>
  <si>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</si>
  <si>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</si>
  <si>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</si>
  <si>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</si>
  <si>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</si>
  <si>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</si>
  <si>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</si>
  <si>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</si>
  <si>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</si>
  <si>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</si>
  <si>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</si>
  <si>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</si>
  <si>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</si>
  <si>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</si>
  <si>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</si>
  <si>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</si>
  <si>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</si>
  <si>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</si>
  <si>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</si>
  <si>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</si>
  <si>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</si>
  <si>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</si>
  <si>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</si>
  <si>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</si>
  <si>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</si>
  <si>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</si>
  <si>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</si>
  <si>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</si>
  <si>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</si>
  <si>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</si>
  <si>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</si>
  <si>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</si>
  <si>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</si>
  <si>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</si>
  <si>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</si>
  <si>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</si>
  <si>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</si>
  <si>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</si>
  <si>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</si>
  <si>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</si>
  <si>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</si>
  <si>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</si>
  <si>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</si>
  <si>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</si>
  <si>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</si>
  <si>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</si>
  <si>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</si>
  <si>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</si>
  <si>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</si>
  <si>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</si>
  <si>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</si>
  <si>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</si>
  <si>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</si>
  <si>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</si>
  <si>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</si>
  <si>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</si>
  <si>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</si>
  <si>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</si>
  <si>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</si>
  <si>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</si>
  <si>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</si>
  <si>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</si>
  <si>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</si>
  <si>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</si>
  <si>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</si>
  <si>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</si>
  <si>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</si>
  <si>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</si>
  <si>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</si>
  <si>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</si>
  <si>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</si>
  <si>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</si>
  <si>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</si>
  <si>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</si>
  <si>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</si>
  <si>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</si>
  <si>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</si>
  <si>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</si>
  <si>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</si>
  <si>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</si>
  <si>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</si>
  <si>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</si>
  <si>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</si>
  <si>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</si>
  <si>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</si>
  <si>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</si>
  <si>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</si>
  <si>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</si>
  <si>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</si>
  <si>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</si>
  <si>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</si>
  <si>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</si>
  <si>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</si>
  <si>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</si>
  <si>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</si>
  <si>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</si>
  <si>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</si>
  <si>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</si>
  <si>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</si>
  <si>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</si>
  <si>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</si>
  <si>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</si>
  <si>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</si>
  <si>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</si>
  <si>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</si>
  <si>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</si>
  <si>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</si>
  <si>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</si>
  <si>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</si>
  <si>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</si>
  <si>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</si>
  <si>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</si>
  <si>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</si>
  <si>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</si>
  <si>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</si>
  <si>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</si>
  <si>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</si>
  <si>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</si>
  <si>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</si>
  <si>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</si>
  <si>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</si>
  <si>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</si>
  <si>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</si>
  <si>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</si>
  <si>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</si>
  <si>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</si>
  <si>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</si>
  <si>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</si>
  <si>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</si>
  <si>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</si>
  <si>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</si>
  <si>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</si>
  <si>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</si>
  <si>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</si>
  <si>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</si>
  <si>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</si>
  <si>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</si>
  <si>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</si>
  <si>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</si>
  <si>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</si>
  <si>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</si>
  <si>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</si>
  <si>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</si>
  <si>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</si>
  <si>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</si>
  <si>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</si>
  <si>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</si>
  <si>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</si>
  <si>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</si>
  <si>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</si>
  <si>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</si>
  <si>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</si>
  <si>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</si>
  <si>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</si>
  <si>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</si>
  <si>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</si>
  <si>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</si>
  <si>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</si>
  <si>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</si>
  <si>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</si>
  <si>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</si>
  <si>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</si>
  <si>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</si>
  <si>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</si>
  <si>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</si>
  <si>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</si>
  <si>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</si>
  <si>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</si>
  <si>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</si>
  <si>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</si>
  <si>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</si>
  <si>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</si>
  <si>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</si>
  <si>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</si>
  <si>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</si>
  <si>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</si>
  <si>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</si>
  <si>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</si>
  <si>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</si>
  <si>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</si>
  <si>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</si>
  <si>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</si>
  <si>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</si>
  <si>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</si>
  <si>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</si>
  <si>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</si>
  <si>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</si>
  <si>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</si>
  <si>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</si>
  <si>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</si>
  <si>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</si>
  <si>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</si>
  <si>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</si>
  <si>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</si>
  <si>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</si>
  <si>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</si>
  <si>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</si>
  <si>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</si>
  <si>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</si>
  <si>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</si>
  <si>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</si>
  <si>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</si>
  <si>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</si>
  <si>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</si>
  <si>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</si>
  <si>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</si>
  <si>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</si>
  <si>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</si>
  <si>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</si>
  <si>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</si>
  <si>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</si>
  <si>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</si>
  <si>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</si>
  <si>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</si>
  <si>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</si>
  <si>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</si>
  <si>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</si>
  <si>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</si>
  <si>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</si>
  <si>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</si>
  <si>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</si>
  <si>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</si>
  <si>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</si>
  <si>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</si>
  <si>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</si>
  <si>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</si>
  <si>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</si>
  <si>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</si>
  <si>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</si>
  <si>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</si>
  <si>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</si>
  <si>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</si>
  <si>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</si>
  <si>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</si>
  <si>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</si>
  <si>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</si>
  <si>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</si>
  <si>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</si>
  <si>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</si>
  <si>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</si>
  <si>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</si>
  <si>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</si>
  <si>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</si>
  <si>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</si>
  <si>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</si>
  <si>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</si>
  <si>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</si>
  <si>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</si>
  <si>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</si>
  <si>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</si>
  <si>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</si>
  <si>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</si>
  <si>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</si>
  <si>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</si>
  <si>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</si>
  <si>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</si>
  <si>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</si>
  <si>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</si>
  <si>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</si>
  <si>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</si>
  <si>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</si>
  <si>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</si>
  <si>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</si>
  <si>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</si>
  <si>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</si>
  <si>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</si>
  <si>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</si>
  <si>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</si>
  <si>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</si>
  <si>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</si>
  <si>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</si>
  <si>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</si>
  <si>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</si>
  <si>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</si>
  <si>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</si>
  <si>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</si>
  <si>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</si>
  <si>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</si>
  <si>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</si>
  <si>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</si>
  <si>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</si>
  <si>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</si>
  <si>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</si>
  <si>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</si>
  <si>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</si>
  <si>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</si>
  <si>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</si>
  <si>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</si>
  <si>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</si>
  <si>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</si>
  <si>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</si>
  <si>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</si>
  <si>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</si>
  <si>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</si>
  <si>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</si>
  <si>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</si>
  <si>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</si>
  <si>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</si>
  <si>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</si>
  <si>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</si>
  <si>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</si>
  <si>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</si>
  <si>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</si>
  <si>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</si>
  <si>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</si>
  <si>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</si>
  <si>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</si>
  <si>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</si>
  <si>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</si>
  <si>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</si>
  <si>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</si>
  <si>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</si>
  <si>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</si>
  <si>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</si>
  <si>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</si>
  <si>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</si>
  <si>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</si>
  <si>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</si>
  <si>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</si>
  <si>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</si>
  <si>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</si>
  <si>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</si>
  <si>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</si>
  <si>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</si>
  <si>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</si>
  <si>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</si>
  <si>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</si>
  <si>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</si>
  <si>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</si>
  <si>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</si>
  <si>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</si>
  <si>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</si>
  <si>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</si>
  <si>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</si>
  <si>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</si>
  <si>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</si>
  <si>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</si>
  <si>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</si>
  <si>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</si>
  <si>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</si>
  <si>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</si>
  <si>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</si>
  <si>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</si>
  <si>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</si>
  <si>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</si>
  <si>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</si>
  <si>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</si>
  <si>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</si>
  <si>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</si>
  <si>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</si>
  <si>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</si>
  <si>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</si>
  <si>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</si>
  <si>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</si>
  <si>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</si>
  <si>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</si>
  <si>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</si>
  <si>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</si>
  <si>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</si>
  <si>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</si>
  <si>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</si>
  <si>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</si>
  <si>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</si>
  <si>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</si>
  <si>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</si>
  <si>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</si>
  <si>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</si>
  <si>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</si>
  <si>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</si>
  <si>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</si>
  <si>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</si>
  <si>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</si>
  <si>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</si>
  <si>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</si>
  <si>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</si>
  <si>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</si>
  <si>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</si>
  <si>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</si>
  <si>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</si>
  <si>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</si>
  <si>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</si>
  <si>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</si>
  <si>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</si>
  <si>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</si>
  <si>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</si>
  <si>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</si>
  <si>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</si>
  <si>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</si>
  <si>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</si>
  <si>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</si>
  <si>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</si>
  <si>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</si>
  <si>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</si>
  <si>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</si>
  <si>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</si>
  <si>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</si>
  <si>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</si>
  <si>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</si>
  <si>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</si>
  <si>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</si>
  <si>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</si>
  <si>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</si>
  <si>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</si>
  <si>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</si>
  <si>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</si>
  <si>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</si>
  <si>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</si>
  <si>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</si>
  <si>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</si>
  <si>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</si>
  <si>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</si>
  <si>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</si>
  <si>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</si>
  <si>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</si>
  <si>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</si>
  <si>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</si>
  <si>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</si>
  <si>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</si>
  <si>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</si>
  <si>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</si>
  <si>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</si>
  <si>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</si>
  <si>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</si>
  <si>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</si>
  <si>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</si>
  <si>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</si>
  <si>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</si>
  <si>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</si>
  <si>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</si>
  <si>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</si>
  <si>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</si>
  <si>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</si>
  <si>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</si>
  <si>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</si>
  <si>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</si>
  <si>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</si>
  <si>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</si>
  <si>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</si>
  <si>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</si>
  <si>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</si>
  <si>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</si>
  <si>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</si>
  <si>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</si>
  <si>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</si>
  <si>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</si>
  <si>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</si>
  <si>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</si>
  <si>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</si>
  <si>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</si>
  <si>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</si>
  <si>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</si>
  <si>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</si>
  <si>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</si>
  <si>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</si>
  <si>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</si>
  <si>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</si>
  <si>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</si>
  <si>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</si>
  <si>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</si>
  <si>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</si>
  <si>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</si>
  <si>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</si>
  <si>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</si>
  <si>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</si>
  <si>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</si>
  <si>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</si>
  <si>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</si>
  <si>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</si>
  <si>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</si>
  <si>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</si>
  <si>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</si>
  <si>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</si>
  <si>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</si>
  <si>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</si>
  <si>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</si>
  <si>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</si>
  <si>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</si>
  <si>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</si>
  <si>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</si>
  <si>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</si>
  <si>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</si>
  <si>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</si>
  <si>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</si>
  <si>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</si>
  <si>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</si>
  <si>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</si>
  <si>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</si>
  <si>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</si>
  <si>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</si>
  <si>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</si>
  <si>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</si>
  <si>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</si>
  <si>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</si>
  <si>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</si>
  <si>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</si>
  <si>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</si>
  <si>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</si>
  <si>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</si>
  <si>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</si>
  <si>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</si>
  <si>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</si>
  <si>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</si>
  <si>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</si>
  <si>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</si>
  <si>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</si>
  <si>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</si>
  <si>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</si>
  <si>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</si>
  <si>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</si>
  <si>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</si>
  <si>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</si>
  <si>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</si>
  <si>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</si>
  <si>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</si>
  <si>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</si>
  <si>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</si>
  <si>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</si>
  <si>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</si>
  <si>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</si>
  <si>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</si>
  <si>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</si>
  <si>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</si>
  <si>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</si>
  <si>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</si>
  <si>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</si>
  <si>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</si>
  <si>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</si>
  <si>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</si>
  <si>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</si>
  <si>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</si>
  <si>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</si>
  <si>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</si>
  <si>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</si>
  <si>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</si>
  <si>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</si>
  <si>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</si>
  <si>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</si>
  <si>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</si>
  <si>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</si>
  <si>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</si>
  <si>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</si>
  <si>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</si>
  <si>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</si>
  <si>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</si>
  <si>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</si>
  <si>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4935</t>
  </si>
  <si>
    <t>F-茂林(4935)</t>
  </si>
  <si>
    <t>F-茂林（4935）</t>
  </si>
  <si>
    <t>4935F-茂林</t>
  </si>
  <si>
    <t xml:space="preserve">△0.6 </t>
  </si>
  <si>
    <t xml:space="preserve">F-茂林(4935)      市價：58.9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</si>
</sst>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1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762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1212</c:v>
                </c:pt>
                <c:pt idx="1">
                  <c:v>1306</c:v>
                </c:pt>
                <c:pt idx="2">
                  <c:v>1464</c:v>
                </c:pt>
                <c:pt idx="3">
                  <c:v>1677</c:v>
                </c:pt>
                <c:pt idx="4">
                  <c:v>1794</c:v>
                </c:pt>
                <c:pt idx="5">
                  <c:v>1553</c:v>
                </c:pt>
                <c:pt idx="6">
                  <c:v>1743</c:v>
                </c:pt>
                <c:pt idx="7">
                  <c:v>1974</c:v>
                </c:pt>
              </c:numCache>
            </c:numRef>
          </c:val>
        </c:ser>
        <c:gapWidth val="125"/>
        <c:axId val="57786368"/>
        <c:axId val="57787904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0.19719471947194719</c:v>
                </c:pt>
                <c:pt idx="1">
                  <c:v>0.23047473200612559</c:v>
                </c:pt>
                <c:pt idx="2">
                  <c:v>0.20969945355191258</c:v>
                </c:pt>
                <c:pt idx="3">
                  <c:v>0.22003577817531306</c:v>
                </c:pt>
                <c:pt idx="4">
                  <c:v>0.19843924191750278</c:v>
                </c:pt>
                <c:pt idx="5">
                  <c:v>0.21764327108821635</c:v>
                </c:pt>
                <c:pt idx="6">
                  <c:v>0.22662076878944348</c:v>
                </c:pt>
                <c:pt idx="7">
                  <c:v>0.25075987841945291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4.6204620462046202E-2</c:v>
                </c:pt>
                <c:pt idx="1">
                  <c:v>0.10719754977029096</c:v>
                </c:pt>
                <c:pt idx="2">
                  <c:v>7.1721311475409832E-2</c:v>
                </c:pt>
                <c:pt idx="3">
                  <c:v>0.10673822301729279</c:v>
                </c:pt>
                <c:pt idx="4">
                  <c:v>8.807134894091416E-2</c:v>
                </c:pt>
                <c:pt idx="5">
                  <c:v>9.2079845460399226E-2</c:v>
                </c:pt>
                <c:pt idx="6">
                  <c:v>8.9500860585197933E-2</c:v>
                </c:pt>
                <c:pt idx="7">
                  <c:v>0.16261398176291794</c:v>
                </c:pt>
              </c:numCache>
            </c:numRef>
          </c:val>
          <c:smooth val="1"/>
        </c:ser>
        <c:marker val="1"/>
        <c:axId val="57795328"/>
        <c:axId val="57789440"/>
      </c:lineChart>
      <c:catAx>
        <c:axId val="5778636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7787904"/>
        <c:crosses val="autoZero"/>
        <c:auto val="1"/>
        <c:lblAlgn val="ctr"/>
        <c:lblOffset val="100"/>
      </c:catAx>
      <c:valAx>
        <c:axId val="5778790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7786368"/>
        <c:crosses val="autoZero"/>
        <c:crossBetween val="between"/>
      </c:valAx>
      <c:valAx>
        <c:axId val="57789440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7795328"/>
        <c:crosses val="max"/>
        <c:crossBetween val="between"/>
      </c:valAx>
      <c:catAx>
        <c:axId val="57795328"/>
        <c:scaling>
          <c:orientation val="minMax"/>
        </c:scaling>
        <c:delete val="1"/>
        <c:axPos val="b"/>
        <c:tickLblPos val="none"/>
        <c:crossAx val="5778944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39"/>
          <c:y val="6.1852578105156222E-2"/>
          <c:w val="0.73786606461091042"/>
          <c:h val="0.88229882850009733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114.79613323124043</c:v>
                </c:pt>
                <c:pt idx="1">
                  <c:v>114.79613323124043</c:v>
                </c:pt>
                <c:pt idx="2">
                  <c:v>106.83230874316941</c:v>
                </c:pt>
                <c:pt idx="3">
                  <c:v>98.786150864639239</c:v>
                </c:pt>
                <c:pt idx="4">
                  <c:v>100.22749442586399</c:v>
                </c:pt>
                <c:pt idx="5">
                  <c:v>116.25120734063104</c:v>
                </c:pt>
                <c:pt idx="6">
                  <c:v>106.01333907056799</c:v>
                </c:pt>
                <c:pt idx="7">
                  <c:v>101.90507852077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67.052860696517413</c:v>
                </c:pt>
                <c:pt idx="1">
                  <c:v>67.052860696517413</c:v>
                </c:pt>
                <c:pt idx="2">
                  <c:v>57.534031979256696</c:v>
                </c:pt>
                <c:pt idx="3">
                  <c:v>49.043386850152906</c:v>
                </c:pt>
                <c:pt idx="4">
                  <c:v>44.673157162726014</c:v>
                </c:pt>
                <c:pt idx="5">
                  <c:v>52.60956790123457</c:v>
                </c:pt>
                <c:pt idx="6">
                  <c:v>48.671179525222556</c:v>
                </c:pt>
                <c:pt idx="7">
                  <c:v>41.028566599053413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101.9639303482587</c:v>
                </c:pt>
                <c:pt idx="1">
                  <c:v>101.9639303482587</c:v>
                </c:pt>
                <c:pt idx="2">
                  <c:v>94.168107173725161</c:v>
                </c:pt>
                <c:pt idx="3">
                  <c:v>82.948203363914374</c:v>
                </c:pt>
                <c:pt idx="4">
                  <c:v>82.524773991655081</c:v>
                </c:pt>
                <c:pt idx="5">
                  <c:v>100.67541152263375</c:v>
                </c:pt>
                <c:pt idx="6">
                  <c:v>91.69000370919882</c:v>
                </c:pt>
                <c:pt idx="7">
                  <c:v>87.825811359026375</c:v>
                </c:pt>
              </c:numCache>
            </c:numRef>
          </c:val>
          <c:smooth val="1"/>
        </c:ser>
        <c:marker val="1"/>
        <c:axId val="99468032"/>
        <c:axId val="99469568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02630912"/>
        <c:axId val="102629376"/>
      </c:lineChart>
      <c:catAx>
        <c:axId val="9946803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9469568"/>
        <c:crosses val="autoZero"/>
        <c:auto val="1"/>
        <c:lblAlgn val="ctr"/>
        <c:lblOffset val="100"/>
      </c:catAx>
      <c:valAx>
        <c:axId val="99469568"/>
        <c:scaling>
          <c:orientation val="minMax"/>
          <c:max val="140.50144880875723"/>
          <c:min val="31.822853279242729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9468032"/>
        <c:crosses val="autoZero"/>
        <c:crossBetween val="between"/>
      </c:valAx>
      <c:valAx>
        <c:axId val="10262937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2630912"/>
        <c:crosses val="max"/>
        <c:crossBetween val="between"/>
      </c:valAx>
      <c:catAx>
        <c:axId val="102630912"/>
        <c:scaling>
          <c:orientation val="minMax"/>
        </c:scaling>
        <c:delete val="1"/>
        <c:axPos val="b"/>
        <c:tickLblPos val="none"/>
        <c:crossAx val="10262937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48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106</c:v>
                </c:pt>
                <c:pt idx="1">
                  <c:v>179</c:v>
                </c:pt>
                <c:pt idx="2">
                  <c:v>176</c:v>
                </c:pt>
                <c:pt idx="3">
                  <c:v>239</c:v>
                </c:pt>
                <c:pt idx="4">
                  <c:v>217</c:v>
                </c:pt>
                <c:pt idx="5">
                  <c:v>128</c:v>
                </c:pt>
                <c:pt idx="6">
                  <c:v>144</c:v>
                </c:pt>
                <c:pt idx="7">
                  <c:v>580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-14</c:v>
                </c:pt>
                <c:pt idx="1">
                  <c:v>128</c:v>
                </c:pt>
                <c:pt idx="2">
                  <c:v>136</c:v>
                </c:pt>
                <c:pt idx="3">
                  <c:v>206</c:v>
                </c:pt>
                <c:pt idx="4">
                  <c:v>194</c:v>
                </c:pt>
                <c:pt idx="5">
                  <c:v>99</c:v>
                </c:pt>
                <c:pt idx="6">
                  <c:v>31</c:v>
                </c:pt>
                <c:pt idx="7">
                  <c:v>229</c:v>
                </c:pt>
              </c:numCache>
            </c:numRef>
          </c:val>
        </c:ser>
        <c:gapWidth val="100"/>
        <c:axId val="102678528"/>
        <c:axId val="102680064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0.27377398720682306</c:v>
                </c:pt>
                <c:pt idx="1">
                  <c:v>0.29435925520262868</c:v>
                </c:pt>
                <c:pt idx="2">
                  <c:v>0.3065333515956718</c:v>
                </c:pt>
                <c:pt idx="3">
                  <c:v>0.28225588314849881</c:v>
                </c:pt>
                <c:pt idx="4">
                  <c:v>0.28697850821744625</c:v>
                </c:pt>
                <c:pt idx="5">
                  <c:v>0.28145736822336298</c:v>
                </c:pt>
                <c:pt idx="6">
                  <c:v>0.33460121240936647</c:v>
                </c:pt>
                <c:pt idx="7">
                  <c:v>0.3130750880381688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02683392"/>
        <c:axId val="102681600"/>
      </c:lineChart>
      <c:catAx>
        <c:axId val="10267852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02680064"/>
        <c:crosses val="autoZero"/>
        <c:auto val="1"/>
        <c:lblAlgn val="ctr"/>
        <c:lblOffset val="100"/>
      </c:catAx>
      <c:valAx>
        <c:axId val="10268006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02678528"/>
        <c:crosses val="autoZero"/>
        <c:crossBetween val="between"/>
      </c:valAx>
      <c:valAx>
        <c:axId val="102681600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2683392"/>
        <c:crosses val="max"/>
        <c:crossBetween val="between"/>
      </c:valAx>
      <c:catAx>
        <c:axId val="102683392"/>
        <c:scaling>
          <c:orientation val="minMax"/>
        </c:scaling>
        <c:delete val="1"/>
        <c:axPos val="b"/>
        <c:tickLblPos val="none"/>
        <c:crossAx val="10268160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56"/>
          <c:y val="6.3932132322468985E-2"/>
          <c:w val="0.74659195050210414"/>
          <c:h val="0.87328441529948286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12381952"/>
        <c:axId val="112371968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1.8928571428571428</c:v>
                </c:pt>
                <c:pt idx="1">
                  <c:v>1.2785714285714285</c:v>
                </c:pt>
                <c:pt idx="2">
                  <c:v>1.6761904761904762</c:v>
                </c:pt>
                <c:pt idx="3">
                  <c:v>1.3351955307262571</c:v>
                </c:pt>
                <c:pt idx="4">
                  <c:v>1.3734177215189873</c:v>
                </c:pt>
                <c:pt idx="5">
                  <c:v>0</c:v>
                </c:pt>
                <c:pt idx="6">
                  <c:v>0</c:v>
                </c:pt>
                <c:pt idx="7">
                  <c:v>1.8068535825545171</c:v>
                </c:pt>
              </c:numCache>
            </c:numRef>
          </c:val>
        </c:ser>
        <c:gapWidth val="125"/>
        <c:axId val="112339968"/>
        <c:axId val="112370432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4.8171451042076291E-2</c:v>
                </c:pt>
                <c:pt idx="2">
                  <c:v>4.8171451042076291E-2</c:v>
                </c:pt>
                <c:pt idx="3">
                  <c:v>5.4280684909585535E-2</c:v>
                </c:pt>
                <c:pt idx="4">
                  <c:v>5.4144571588054705E-2</c:v>
                </c:pt>
                <c:pt idx="5">
                  <c:v>5.3709144326110909E-2</c:v>
                </c:pt>
                <c:pt idx="6">
                  <c:v>5.965669261795329E-2</c:v>
                </c:pt>
                <c:pt idx="7">
                  <c:v>6.8528142341231391E-2</c:v>
                </c:pt>
              </c:numCache>
            </c:numRef>
          </c:val>
          <c:smooth val="1"/>
        </c:ser>
        <c:marker val="1"/>
        <c:axId val="112381952"/>
        <c:axId val="112371968"/>
      </c:lineChart>
      <c:catAx>
        <c:axId val="11233996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2370432"/>
        <c:crosses val="autoZero"/>
        <c:auto val="1"/>
        <c:lblAlgn val="ctr"/>
        <c:lblOffset val="100"/>
      </c:catAx>
      <c:valAx>
        <c:axId val="112370432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2339968"/>
        <c:crosses val="autoZero"/>
        <c:crossBetween val="between"/>
      </c:valAx>
      <c:valAx>
        <c:axId val="11237196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2381952"/>
        <c:crosses val="max"/>
        <c:crossBetween val="between"/>
      </c:valAx>
      <c:catAx>
        <c:axId val="112381952"/>
        <c:scaling>
          <c:orientation val="minMax"/>
        </c:scaling>
        <c:delete val="1"/>
        <c:axPos val="b"/>
        <c:tickLblPos val="none"/>
        <c:crossAx val="11237196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66" l="0.70000000000000062" r="0.70000000000000062" t="0.75000000000000266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3"/>
          <c:y val="3.1301940054012753E-2"/>
          <c:w val="0.75824839488840412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120</c:v>
                </c:pt>
                <c:pt idx="1">
                  <c:v>51</c:v>
                </c:pt>
                <c:pt idx="2">
                  <c:v>40</c:v>
                </c:pt>
                <c:pt idx="3">
                  <c:v>33</c:v>
                </c:pt>
                <c:pt idx="4">
                  <c:v>23</c:v>
                </c:pt>
                <c:pt idx="5">
                  <c:v>29</c:v>
                </c:pt>
                <c:pt idx="6">
                  <c:v>113</c:v>
                </c:pt>
                <c:pt idx="7">
                  <c:v>351</c:v>
                </c:pt>
              </c:numCache>
            </c:numRef>
          </c:val>
        </c:ser>
        <c:axId val="113655168"/>
        <c:axId val="113677440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13655168"/>
        <c:axId val="113677440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7.7081192189105863E-2</c:v>
                </c:pt>
                <c:pt idx="1">
                  <c:v>8.2587064676616917E-2</c:v>
                </c:pt>
                <c:pt idx="2">
                  <c:v>6.482281763180639E-2</c:v>
                </c:pt>
                <c:pt idx="3">
                  <c:v>5.8103975535168197E-2</c:v>
                </c:pt>
                <c:pt idx="4">
                  <c:v>5.7719054242002785E-2</c:v>
                </c:pt>
                <c:pt idx="5">
                  <c:v>6.6666666666666666E-2</c:v>
                </c:pt>
                <c:pt idx="6">
                  <c:v>5.8605341246290799E-2</c:v>
                </c:pt>
                <c:pt idx="7">
                  <c:v>5.544286680189317E-2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6.6135458167330671E-2</c:v>
                </c:pt>
                <c:pt idx="1">
                  <c:v>6.6135458167330671E-2</c:v>
                </c:pt>
                <c:pt idx="2">
                  <c:v>5.2668539325842693E-2</c:v>
                </c:pt>
                <c:pt idx="3">
                  <c:v>4.6228710462287104E-2</c:v>
                </c:pt>
                <c:pt idx="4">
                  <c:v>4.6866177300959912E-2</c:v>
                </c:pt>
                <c:pt idx="5">
                  <c:v>5.7487579843860895E-2</c:v>
                </c:pt>
                <c:pt idx="6">
                  <c:v>4.8466257668711654E-2</c:v>
                </c:pt>
                <c:pt idx="7">
                  <c:v>5.052372150338879E-2</c:v>
                </c:pt>
              </c:numCache>
            </c:numRef>
          </c:val>
          <c:smooth val="1"/>
        </c:ser>
        <c:marker val="1"/>
        <c:axId val="113684864"/>
        <c:axId val="113678976"/>
      </c:lineChart>
      <c:catAx>
        <c:axId val="11365516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3677440"/>
        <c:crosses val="autoZero"/>
        <c:auto val="1"/>
        <c:lblAlgn val="ctr"/>
        <c:lblOffset val="100"/>
      </c:catAx>
      <c:valAx>
        <c:axId val="11367744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3655168"/>
        <c:crosses val="autoZero"/>
        <c:crossBetween val="between"/>
      </c:valAx>
      <c:valAx>
        <c:axId val="11367897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13684864"/>
        <c:crosses val="max"/>
        <c:crossBetween val="between"/>
      </c:valAx>
      <c:catAx>
        <c:axId val="113684864"/>
        <c:scaling>
          <c:orientation val="minMax"/>
        </c:scaling>
        <c:delete val="1"/>
        <c:axPos val="b"/>
        <c:tickLblPos val="none"/>
        <c:crossAx val="11367897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03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0.4</c:v>
                </c:pt>
                <c:pt idx="1">
                  <c:v>1.08</c:v>
                </c:pt>
                <c:pt idx="2">
                  <c:v>0.81</c:v>
                </c:pt>
                <c:pt idx="3">
                  <c:v>1.39</c:v>
                </c:pt>
                <c:pt idx="4">
                  <c:v>1.23</c:v>
                </c:pt>
                <c:pt idx="5">
                  <c:v>1.1100000000000001</c:v>
                </c:pt>
                <c:pt idx="6">
                  <c:v>1.2</c:v>
                </c:pt>
                <c:pt idx="7">
                  <c:v>2.48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13719936"/>
        <c:axId val="113729920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0.86363636363636365</c:v>
                </c:pt>
                <c:pt idx="1">
                  <c:v>0.86131386861313863</c:v>
                </c:pt>
                <c:pt idx="2">
                  <c:v>1</c:v>
                </c:pt>
                <c:pt idx="3">
                  <c:v>0.91346153846153844</c:v>
                </c:pt>
                <c:pt idx="4">
                  <c:v>0.84816753926701571</c:v>
                </c:pt>
                <c:pt idx="5">
                  <c:v>0.97674418604651159</c:v>
                </c:pt>
                <c:pt idx="6">
                  <c:v>1.0092592592592593</c:v>
                </c:pt>
                <c:pt idx="7">
                  <c:v>0.82499999999999996</c:v>
                </c:pt>
              </c:numCache>
            </c:numRef>
          </c:val>
          <c:smooth val="1"/>
        </c:ser>
        <c:marker val="1"/>
        <c:axId val="113732992"/>
        <c:axId val="113731456"/>
      </c:lineChart>
      <c:catAx>
        <c:axId val="1137199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3729920"/>
        <c:crosses val="autoZero"/>
        <c:auto val="1"/>
        <c:lblAlgn val="ctr"/>
        <c:lblOffset val="100"/>
      </c:catAx>
      <c:valAx>
        <c:axId val="1137299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3719936"/>
        <c:crosses val="autoZero"/>
        <c:crossBetween val="between"/>
      </c:valAx>
      <c:valAx>
        <c:axId val="113731456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3732992"/>
        <c:crosses val="max"/>
        <c:crossBetween val="between"/>
      </c:valAx>
      <c:catAx>
        <c:axId val="113732992"/>
        <c:scaling>
          <c:orientation val="minMax"/>
        </c:scaling>
        <c:delete val="1"/>
        <c:axPos val="b"/>
        <c:tickLblPos val="none"/>
        <c:crossAx val="11373145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42"/>
          <c:w val="0.88395908009621549"/>
          <c:h val="0.75954052669684691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1212</c:v>
                </c:pt>
                <c:pt idx="1">
                  <c:v>1306</c:v>
                </c:pt>
                <c:pt idx="2">
                  <c:v>1464</c:v>
                </c:pt>
                <c:pt idx="3">
                  <c:v>1677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1794</c:v>
                </c:pt>
                <c:pt idx="1">
                  <c:v>1553</c:v>
                </c:pt>
                <c:pt idx="2">
                  <c:v>1743</c:v>
                </c:pt>
                <c:pt idx="3">
                  <c:v>1974</c:v>
                </c:pt>
              </c:numCache>
            </c:numRef>
          </c:val>
        </c:ser>
        <c:gapWidth val="65"/>
        <c:axId val="113744896"/>
        <c:axId val="113054464"/>
      </c:barChart>
      <c:catAx>
        <c:axId val="113744896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3054464"/>
        <c:crosses val="autoZero"/>
        <c:auto val="1"/>
        <c:lblAlgn val="ctr"/>
        <c:lblOffset val="100"/>
      </c:catAx>
      <c:valAx>
        <c:axId val="113054464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1374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57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181.84899392775785</c:v>
                </c:pt>
                <c:pt idx="1">
                  <c:v>181.84899392775785</c:v>
                </c:pt>
                <c:pt idx="2">
                  <c:v>164.36634072242612</c:v>
                </c:pt>
                <c:pt idx="3">
                  <c:v>147.82953771479214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144.90065158858999</c:v>
                </c:pt>
                <c:pt idx="1">
                  <c:v>168.86077524186561</c:v>
                </c:pt>
                <c:pt idx="2">
                  <c:v>154.68451859579056</c:v>
                </c:pt>
                <c:pt idx="3">
                  <c:v>142.93364511982341</c:v>
                </c:pt>
              </c:numCache>
            </c:numRef>
          </c:val>
          <c:smooth val="1"/>
        </c:ser>
        <c:dLbls>
          <c:showVal val="1"/>
        </c:dLbls>
        <c:marker val="1"/>
        <c:axId val="113109248"/>
        <c:axId val="113770496"/>
      </c:lineChart>
      <c:catAx>
        <c:axId val="113109248"/>
        <c:scaling>
          <c:orientation val="minMax"/>
        </c:scaling>
        <c:delete val="1"/>
        <c:axPos val="b"/>
        <c:majorTickMark val="none"/>
        <c:tickLblPos val="none"/>
        <c:crossAx val="113770496"/>
        <c:crosses val="autoZero"/>
        <c:auto val="1"/>
        <c:lblAlgn val="ctr"/>
        <c:lblOffset val="100"/>
      </c:catAx>
      <c:valAx>
        <c:axId val="113770496"/>
        <c:scaling>
          <c:orientation val="minMax"/>
          <c:max val="219.2187927133094"/>
          <c:min val="113.34691609585873"/>
        </c:scaling>
        <c:delete val="1"/>
        <c:axPos val="l"/>
        <c:numFmt formatCode="#,##0;[Red]\-#,##0" sourceLinked="1"/>
        <c:majorTickMark val="none"/>
        <c:tickLblPos val="none"/>
        <c:crossAx val="1131092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39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38154368"/>
        <c:axId val="138155904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38163328"/>
        <c:axId val="138157440"/>
      </c:lineChart>
      <c:dateAx>
        <c:axId val="13815436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8155904"/>
        <c:crosses val="autoZero"/>
        <c:lblOffset val="100"/>
        <c:baseTimeUnit val="days"/>
      </c:dateAx>
      <c:valAx>
        <c:axId val="13815590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8154368"/>
        <c:crosses val="autoZero"/>
        <c:crossBetween val="between"/>
      </c:valAx>
      <c:valAx>
        <c:axId val="138157440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8163328"/>
        <c:crosses val="max"/>
        <c:crossBetween val="between"/>
      </c:valAx>
      <c:dateAx>
        <c:axId val="138163328"/>
        <c:scaling>
          <c:orientation val="minMax"/>
        </c:scaling>
        <c:delete val="1"/>
        <c:axPos val="b"/>
        <c:numFmt formatCode="General" sourceLinked="1"/>
        <c:tickLblPos val="none"/>
        <c:crossAx val="138157440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552E-2"/>
          <c:y val="7.6339457567804025E-2"/>
          <c:w val="0.91226332455746373"/>
          <c:h val="0.76162697844589577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38184192"/>
        <c:axId val="138185728"/>
      </c:lineChart>
      <c:catAx>
        <c:axId val="13818419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8185728"/>
        <c:crosses val="autoZero"/>
        <c:auto val="1"/>
        <c:lblAlgn val="ctr"/>
        <c:lblOffset val="100"/>
      </c:catAx>
      <c:valAx>
        <c:axId val="138185728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818419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621E-2"/>
          <c:y val="7.6339457567804025E-2"/>
          <c:w val="0.91226344792658953"/>
          <c:h val="0.76162697844589622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39277056"/>
        <c:axId val="139278592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39290112"/>
        <c:axId val="139288576"/>
      </c:lineChart>
      <c:catAx>
        <c:axId val="13927705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9278592"/>
        <c:crosses val="autoZero"/>
        <c:auto val="1"/>
        <c:lblAlgn val="ctr"/>
        <c:lblOffset val="100"/>
      </c:catAx>
      <c:valAx>
        <c:axId val="139278592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9277056"/>
        <c:crosses val="autoZero"/>
        <c:crossBetween val="between"/>
      </c:valAx>
      <c:valAx>
        <c:axId val="139288576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39290112"/>
        <c:crosses val="max"/>
        <c:crossBetween val="between"/>
      </c:valAx>
      <c:catAx>
        <c:axId val="139290112"/>
        <c:scaling>
          <c:orientation val="minMax"/>
        </c:scaling>
        <c:delete val="1"/>
        <c:axPos val="b"/>
        <c:tickLblPos val="none"/>
        <c:crossAx val="139288576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666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39986816"/>
        <c:axId val="139988352"/>
      </c:barChart>
      <c:catAx>
        <c:axId val="13998681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9988352"/>
        <c:crosses val="autoZero"/>
        <c:auto val="1"/>
        <c:lblAlgn val="ctr"/>
        <c:lblOffset val="100"/>
      </c:catAx>
      <c:valAx>
        <c:axId val="139988352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998681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40038144"/>
        <c:axId val="140039680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40055296"/>
        <c:axId val="140041216"/>
      </c:lineChart>
      <c:catAx>
        <c:axId val="14003814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0039680"/>
        <c:crosses val="autoZero"/>
        <c:auto val="1"/>
        <c:lblAlgn val="ctr"/>
        <c:lblOffset val="100"/>
      </c:catAx>
      <c:valAx>
        <c:axId val="14003968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0038144"/>
        <c:crosses val="autoZero"/>
        <c:crossBetween val="between"/>
      </c:valAx>
      <c:valAx>
        <c:axId val="14004121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40055296"/>
        <c:crosses val="max"/>
        <c:crossBetween val="between"/>
      </c:valAx>
      <c:catAx>
        <c:axId val="140055296"/>
        <c:scaling>
          <c:orientation val="minMax"/>
        </c:scaling>
        <c:delete val="1"/>
        <c:axPos val="b"/>
        <c:tickLblPos val="none"/>
        <c:crossAx val="14004121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33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40116736"/>
        <c:axId val="140118272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40129792"/>
        <c:axId val="140128256"/>
      </c:lineChart>
      <c:catAx>
        <c:axId val="14011673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0118272"/>
        <c:crosses val="autoZero"/>
        <c:auto val="1"/>
        <c:lblAlgn val="ctr"/>
        <c:lblOffset val="100"/>
      </c:catAx>
      <c:valAx>
        <c:axId val="14011827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0116736"/>
        <c:crosses val="autoZero"/>
        <c:crossBetween val="between"/>
      </c:valAx>
      <c:valAx>
        <c:axId val="140128256"/>
        <c:scaling>
          <c:orientation val="minMax"/>
          <c:max val="0.42461380020597389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40129792"/>
        <c:crosses val="max"/>
        <c:crossBetween val="between"/>
      </c:valAx>
      <c:catAx>
        <c:axId val="140129792"/>
        <c:scaling>
          <c:orientation val="minMax"/>
        </c:scaling>
        <c:delete val="1"/>
        <c:axPos val="b"/>
        <c:tickLblPos val="none"/>
        <c:crossAx val="14012825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4935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4935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4935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4935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4935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42385</v>
      </c>
      <c r="C2" s="145">
        <f ca="1">B2-WEEKDAY(TODAY())-1</f>
        <v>42377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42370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42363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42356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42349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42342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82" t="s">
        <v>2057</v>
      </c>
      <c r="B1" s="383" t="s">
        <v>2062</v>
      </c>
      <c r="C1" s="384">
        <v>7</v>
      </c>
      <c r="D1" s="1"/>
      <c r="E1" s="1"/>
      <c r="F1" s="1"/>
      <c r="G1" s="13"/>
      <c r="H1" s="1"/>
      <c r="I1" s="1"/>
      <c r="J1" s="2"/>
      <c r="M1" s="8"/>
      <c r="N1" s="183"/>
      <c r="O1" s="385">
        <v>1</v>
      </c>
      <c r="P1" s="386">
        <v>1</v>
      </c>
      <c r="Q1" s="386">
        <v>2</v>
      </c>
      <c r="R1" s="386">
        <v>1</v>
      </c>
      <c r="S1" s="387">
        <v>1</v>
      </c>
      <c r="T1" s="388" t="str">
        <f>"    合計 " &amp; SUM(O1:S1) &amp; " 分    "</f>
        <v xml:space="preserve">    合計 6 分    </v>
      </c>
      <c r="U1" s="389"/>
      <c r="V1" s="390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51" t="s">
        <v>1890</v>
      </c>
      <c r="G2" s="351"/>
      <c r="H2" s="351"/>
      <c r="I2" s="351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58" t="s">
        <v>9</v>
      </c>
      <c r="X2" s="358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1212</v>
      </c>
      <c r="P3" s="216">
        <f>VLOOKUP("營業收入淨額",$B$40:$L$500,8,0)</f>
        <v>1306</v>
      </c>
      <c r="Q3" s="216">
        <f>VLOOKUP("營業收入淨額",$B$40:$L$500,7,0)</f>
        <v>1464</v>
      </c>
      <c r="R3" s="216">
        <f>VLOOKUP("營業收入淨額",$B$40:$L$500,6,0)</f>
        <v>1677</v>
      </c>
      <c r="S3" s="216">
        <f>VLOOKUP("營業收入淨額",$B$40:$L$500,5,0)</f>
        <v>1794</v>
      </c>
      <c r="T3" s="216">
        <f>VLOOKUP("營業收入淨額",$B$40:$L$500,4,0)</f>
        <v>1553</v>
      </c>
      <c r="U3" s="216">
        <f>VLOOKUP("營業收入淨額",$B$40:$L$500,3,0)</f>
        <v>1743</v>
      </c>
      <c r="V3" s="217">
        <f>VLOOKUP("營業收入淨額",$B$40:$L$500,2,0)</f>
        <v>1974</v>
      </c>
      <c r="W3" s="174">
        <f>MAX(O3:V3)</f>
        <v>1974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46"/>
      <c r="G4" s="346"/>
      <c r="H4" s="346"/>
      <c r="I4" s="346"/>
      <c r="J4" s="6"/>
      <c r="K4" s="8"/>
      <c r="L4" s="8"/>
      <c r="M4" s="8"/>
      <c r="N4" s="184" t="s">
        <v>11</v>
      </c>
      <c r="O4" s="215">
        <f>VLOOKUP("營業成本",$B$40:$L$500,9,0)</f>
        <v>973</v>
      </c>
      <c r="P4" s="216">
        <f>VLOOKUP("營業成本",$B$40:$L$500,8,0)</f>
        <v>1005</v>
      </c>
      <c r="Q4" s="216">
        <f>VLOOKUP("營業成本",$B$40:$L$500,7,0)</f>
        <v>1157</v>
      </c>
      <c r="R4" s="216">
        <f>VLOOKUP("營業成本",$B$40:$L$500,6,0)</f>
        <v>1308</v>
      </c>
      <c r="S4" s="216">
        <f>VLOOKUP("營業成本",$B$40:$L$500,5,0)</f>
        <v>1438</v>
      </c>
      <c r="T4" s="216">
        <f>VLOOKUP("營業成本",$B$40:$L$500,4,0)</f>
        <v>1215</v>
      </c>
      <c r="U4" s="216">
        <f>VLOOKUP("營業成本",$B$40:$L$500,3,0)</f>
        <v>1348</v>
      </c>
      <c r="V4" s="217">
        <f>VLOOKUP("營業成本",$B$40:$L$500,2,0)</f>
        <v>1479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57</v>
      </c>
      <c r="P5" s="216">
        <f>VLOOKUP("營業利益",$B$40:$L$500,8,0)</f>
        <v>118</v>
      </c>
      <c r="Q5" s="216">
        <f>VLOOKUP("營業利益",$B$40:$L$500,7,0)</f>
        <v>122</v>
      </c>
      <c r="R5" s="216">
        <f>VLOOKUP("營業利益",$B$40:$L$500,6,0)</f>
        <v>190</v>
      </c>
      <c r="S5" s="216">
        <f>VLOOKUP("營業利益",$B$40:$L$500,5,0)</f>
        <v>162</v>
      </c>
      <c r="T5" s="216">
        <f>VLOOKUP("營業利益",$B$40:$L$500,4,0)</f>
        <v>168</v>
      </c>
      <c r="U5" s="216">
        <f>VLOOKUP("營業利益",$B$40:$L$500,3,0)</f>
        <v>218</v>
      </c>
      <c r="V5" s="217">
        <f>VLOOKUP("營業利益",$B$40:$L$500,2,0)</f>
        <v>297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46"/>
      <c r="G6" s="346"/>
      <c r="H6" s="346"/>
      <c r="I6" s="346"/>
      <c r="J6" s="6"/>
      <c r="K6" s="8"/>
      <c r="L6" s="8"/>
      <c r="M6" s="8"/>
      <c r="N6" s="184" t="s">
        <v>12</v>
      </c>
      <c r="O6" s="215">
        <f>VLOOKUP("營業外收入合計",$B$40:$L$500,9,0)</f>
        <v>12</v>
      </c>
      <c r="P6" s="216">
        <f>VLOOKUP("營業外收入合計",$B$40:$L$500,8,0)</f>
        <v>21</v>
      </c>
      <c r="Q6" s="216">
        <f>VLOOKUP("營業外收入合計",$B$40:$L$500,7,0)</f>
        <v>4</v>
      </c>
      <c r="R6" s="216">
        <f>VLOOKUP("營業外收入合計",$B$40:$L$500,6,0)</f>
        <v>18</v>
      </c>
      <c r="S6" s="216">
        <f>VLOOKUP("營業外收入合計",$B$40:$L$500,5,0)</f>
        <v>31</v>
      </c>
      <c r="T6" s="216">
        <f>VLOOKUP("營業外收入合計",$B$40:$L$500,4,0)</f>
        <v>8</v>
      </c>
      <c r="U6" s="216">
        <f>VLOOKUP("營業外收入合計",$B$40:$L$500,3,0)</f>
        <v>8</v>
      </c>
      <c r="V6" s="217">
        <f>VLOOKUP("營業外收入合計",$B$40:$L$500,2,0)</f>
        <v>53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66</v>
      </c>
      <c r="P7" s="216">
        <f>VLOOKUP("稅前淨利",$B$40:$L$500,8,0)</f>
        <v>137</v>
      </c>
      <c r="Q7" s="216">
        <f>VLOOKUP("稅前淨利",$B$40:$L$500,7,0)</f>
        <v>122</v>
      </c>
      <c r="R7" s="216">
        <f>VLOOKUP("稅前淨利",$B$40:$L$500,6,0)</f>
        <v>208</v>
      </c>
      <c r="S7" s="216">
        <f>VLOOKUP("稅前淨利",$B$40:$L$500,5,0)</f>
        <v>191</v>
      </c>
      <c r="T7" s="216">
        <f>VLOOKUP("稅前淨利",$B$40:$L$500,4,0)</f>
        <v>172</v>
      </c>
      <c r="U7" s="216">
        <f>VLOOKUP("稅前淨利",$B$40:$L$500,3,0)</f>
        <v>216</v>
      </c>
      <c r="V7" s="217">
        <f>VLOOKUP("稅前淨利",$B$40:$L$500,2,0)</f>
        <v>360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46"/>
      <c r="G8" s="346"/>
      <c r="H8" s="346"/>
      <c r="I8" s="346"/>
      <c r="J8" s="6"/>
      <c r="K8" s="8"/>
      <c r="L8" s="8"/>
      <c r="M8" s="8"/>
      <c r="N8" s="184" t="s">
        <v>13</v>
      </c>
      <c r="O8" s="215">
        <f>VLOOKUP("本期稅後淨利",$B$40:$L$500,9,0)</f>
        <v>56</v>
      </c>
      <c r="P8" s="216">
        <f>VLOOKUP("本期稅後淨利",$B$40:$L$500,8,0)</f>
        <v>140</v>
      </c>
      <c r="Q8" s="216">
        <f>VLOOKUP("本期稅後淨利",$B$40:$L$500,7,0)</f>
        <v>105</v>
      </c>
      <c r="R8" s="216">
        <f>VLOOKUP("本期稅後淨利",$B$40:$L$500,6,0)</f>
        <v>179</v>
      </c>
      <c r="S8" s="216">
        <f>VLOOKUP("本期稅後淨利",$B$40:$L$500,5,0)</f>
        <v>158</v>
      </c>
      <c r="T8" s="216">
        <f>VLOOKUP("本期稅後淨利",$B$40:$L$500,4,0)</f>
        <v>143</v>
      </c>
      <c r="U8" s="216">
        <f>VLOOKUP("本期稅後淨利",$B$40:$L$500,3,0)</f>
        <v>156</v>
      </c>
      <c r="V8" s="217">
        <f>VLOOKUP("本期稅後淨利",$B$40:$L$500,2,0)</f>
        <v>321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0.4</v>
      </c>
      <c r="P9" s="216">
        <f>VLOOKUP("每股盈餘 (元)",$B$40:$L$500,8,0)</f>
        <v>1.08</v>
      </c>
      <c r="Q9" s="216">
        <f>VLOOKUP("每股盈餘 (元)",$B$40:$L$500,7,0)</f>
        <v>0.81</v>
      </c>
      <c r="R9" s="216">
        <f>VLOOKUP("每股盈餘 (元)",$B$40:$L$500,6,0)</f>
        <v>1.39</v>
      </c>
      <c r="S9" s="216">
        <f>VLOOKUP("每股盈餘 (元)",$B$40:$L$500,5,0)</f>
        <v>1.23</v>
      </c>
      <c r="T9" s="216">
        <f>VLOOKUP("每股盈餘 (元)",$B$40:$L$500,4,0)</f>
        <v>1.1100000000000001</v>
      </c>
      <c r="U9" s="216">
        <f>VLOOKUP("每股盈餘 (元)",$B$40:$L$500,3,0)</f>
        <v>1.2</v>
      </c>
      <c r="V9" s="217">
        <f>VLOOKUP("每股盈餘 (元)",$B$40:$L$500,2,0)</f>
        <v>2.48</v>
      </c>
      <c r="W9" s="174">
        <f>MAX(R9:V9)</f>
        <v>2.48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46"/>
      <c r="G10" s="346"/>
      <c r="H10" s="346"/>
      <c r="I10" s="346"/>
      <c r="J10" s="6"/>
      <c r="K10" s="8"/>
      <c r="L10" s="8"/>
      <c r="M10" s="8"/>
      <c r="N10" s="184" t="s">
        <v>222</v>
      </c>
      <c r="O10" s="215">
        <f>VLOOKUP(" 應收帳款及票據",$B$40:$L$500,9,0)</f>
        <v>1587</v>
      </c>
      <c r="P10" s="216">
        <f>VLOOKUP(" 應收帳款及票據",$B$40:$L$500,8,0)</f>
        <v>1699</v>
      </c>
      <c r="Q10" s="216">
        <f>VLOOKUP(" 應收帳款及票據",$B$40:$L$500,7,0)</f>
        <v>1729</v>
      </c>
      <c r="R10" s="216">
        <f>VLOOKUP(" 應收帳款及票據",$B$40:$L$500,6,0)</f>
        <v>1902</v>
      </c>
      <c r="S10" s="216">
        <f>VLOOKUP(" 應收帳款及票據",$B$40:$L$500,5,0)</f>
        <v>2039</v>
      </c>
      <c r="T10" s="216">
        <f>VLOOKUP(" 應收帳款及票據",$B$40:$L$500,4,0)</f>
        <v>1918</v>
      </c>
      <c r="U10" s="216">
        <f>VLOOKUP(" 應收帳款及票據",$B$40:$L$500,3,0)</f>
        <v>2132</v>
      </c>
      <c r="V10" s="217">
        <f>VLOOKUP(" 應收帳款及票據",$B$40:$L$500,2,0)</f>
        <v>2277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711</v>
      </c>
      <c r="P11" s="216">
        <f>VLOOKUP(" 存貨",$B$40:$L$500,8,0)</f>
        <v>766</v>
      </c>
      <c r="Q11" s="216">
        <f>VLOOKUP(" 存貨",$B$40:$L$500,7,0)</f>
        <v>693</v>
      </c>
      <c r="R11" s="216">
        <f>VLOOKUP(" 存貨",$B$40:$L$500,6,0)</f>
        <v>713</v>
      </c>
      <c r="S11" s="216">
        <f>VLOOKUP(" 存貨",$B$40:$L$500,5,0)</f>
        <v>695</v>
      </c>
      <c r="T11" s="216">
        <f>VLOOKUP(" 存貨",$B$40:$L$500,4,0)</f>
        <v>706</v>
      </c>
      <c r="U11" s="216">
        <f>VLOOKUP(" 存貨",$B$40:$L$500,3,0)</f>
        <v>732</v>
      </c>
      <c r="V11" s="217">
        <f>VLOOKUP(" 存貨",$B$40:$L$500,2,0)</f>
        <v>598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1032</v>
      </c>
      <c r="P12" s="216">
        <f>VLOOKUP(" 應付帳款及票據",$B$40:$L$500,8,0)</f>
        <v>1214</v>
      </c>
      <c r="Q12" s="216">
        <f>VLOOKUP(" 應付帳款及票據",$B$40:$L$500,7,0)</f>
        <v>1174</v>
      </c>
      <c r="R12" s="216">
        <f>VLOOKUP(" 應付帳款及票據",$B$40:$L$500,6,0)</f>
        <v>1204</v>
      </c>
      <c r="S12" s="216">
        <f>VLOOKUP(" 應付帳款及票據",$B$40:$L$500,5,0)</f>
        <v>1397</v>
      </c>
      <c r="T12" s="216">
        <f>VLOOKUP(" 應付帳款及票據",$B$40:$L$500,4,0)</f>
        <v>1284</v>
      </c>
      <c r="U12" s="216">
        <f>VLOOKUP(" 應付帳款及票據",$B$40:$L$500,3,0)</f>
        <v>1425</v>
      </c>
      <c r="V12" s="217">
        <f>VLOOKUP(" 應付帳款及票據",$B$40:$L$500,2,0)</f>
        <v>1422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1926</v>
      </c>
      <c r="P13" s="216">
        <f>VLOOKUP("負債總額",$B$40:$L$500,8,0)</f>
        <v>2150</v>
      </c>
      <c r="Q13" s="216">
        <f>VLOOKUP("負債總額",$B$40:$L$500,7,0)</f>
        <v>2238</v>
      </c>
      <c r="R13" s="216">
        <f>VLOOKUP("負債總額",$B$40:$L$500,6,0)</f>
        <v>2087</v>
      </c>
      <c r="S13" s="216">
        <f>VLOOKUP("負債總額",$B$40:$L$500,5,0)</f>
        <v>2270</v>
      </c>
      <c r="T13" s="216">
        <f>VLOOKUP("負債總額",$B$40:$L$500,4,0)</f>
        <v>2248</v>
      </c>
      <c r="U13" s="216">
        <f>VLOOKUP("負債總額",$B$40:$L$500,3,0)</f>
        <v>2815</v>
      </c>
      <c r="V13" s="217">
        <f>VLOOKUP("負債總額",$B$40:$L$500,2,0)</f>
        <v>2756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52" t="s">
        <v>1889</v>
      </c>
      <c r="G14" s="352"/>
      <c r="H14" s="352"/>
      <c r="I14" s="352"/>
      <c r="J14" s="42"/>
      <c r="K14" s="8"/>
      <c r="L14" s="8"/>
      <c r="M14" s="8"/>
      <c r="N14" s="184" t="s">
        <v>18</v>
      </c>
      <c r="O14" s="215">
        <f>VLOOKUP("資產總額",$B$40:$L$500,9,0)</f>
        <v>7035</v>
      </c>
      <c r="P14" s="216">
        <f>VLOOKUP("資產總額",$B$40:$L$500,8,0)</f>
        <v>7304</v>
      </c>
      <c r="Q14" s="216">
        <f>VLOOKUP("資產總額",$B$40:$L$500,7,0)</f>
        <v>7301</v>
      </c>
      <c r="R14" s="216">
        <f>VLOOKUP("資產總額",$B$40:$L$500,6,0)</f>
        <v>7394</v>
      </c>
      <c r="S14" s="216">
        <f>VLOOKUP("資產總額",$B$40:$L$500,5,0)</f>
        <v>7910</v>
      </c>
      <c r="T14" s="216">
        <f>VLOOKUP("資產總額",$B$40:$L$500,4,0)</f>
        <v>7987</v>
      </c>
      <c r="U14" s="216">
        <f>VLOOKUP("資產總額",$B$40:$L$500,3,0)</f>
        <v>8413</v>
      </c>
      <c r="V14" s="217">
        <f>VLOOKUP("資產總額",$B$40:$L$500,2,0)</f>
        <v>8803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106</v>
      </c>
      <c r="P15" s="216">
        <f>VLOOKUP("來自營運之現金流量",$B$40:$L$500,8,0)</f>
        <v>179</v>
      </c>
      <c r="Q15" s="216">
        <f>VLOOKUP("來自營運之現金流量",$B$40:$L$500,7,0)</f>
        <v>176</v>
      </c>
      <c r="R15" s="216">
        <f>VLOOKUP("來自營運之現金流量",$B$40:$L$500,6,0)</f>
        <v>239</v>
      </c>
      <c r="S15" s="216">
        <f>VLOOKUP("來自營運之現金流量",$B$40:$L$500,5,0)</f>
        <v>217</v>
      </c>
      <c r="T15" s="216">
        <f>VLOOKUP("來自營運之現金流量",$B$40:$L$500,4,0)</f>
        <v>128</v>
      </c>
      <c r="U15" s="216">
        <f>VLOOKUP("來自營運之現金流量",$B$40:$L$500,3,0)</f>
        <v>144</v>
      </c>
      <c r="V15" s="217">
        <f>VLOOKUP("來自營運之現金流量",$B$40:$L$500,2,0)</f>
        <v>580</v>
      </c>
      <c r="W15" s="176">
        <f>AVERAGE(R15:V15)</f>
        <v>261.60000000000002</v>
      </c>
      <c r="X15" s="176">
        <f>AVERAGE(U15:V15)</f>
        <v>362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46"/>
      <c r="G16" s="346"/>
      <c r="H16" s="346"/>
      <c r="I16" s="346"/>
      <c r="J16" s="6"/>
      <c r="K16" s="8"/>
      <c r="L16" s="8"/>
      <c r="M16" s="8"/>
      <c r="N16" s="184" t="s">
        <v>20</v>
      </c>
      <c r="O16" s="215">
        <v>120</v>
      </c>
      <c r="P16" s="216">
        <v>51</v>
      </c>
      <c r="Q16" s="216">
        <v>40</v>
      </c>
      <c r="R16" s="216">
        <v>33</v>
      </c>
      <c r="S16" s="216">
        <v>23</v>
      </c>
      <c r="T16" s="216">
        <v>29</v>
      </c>
      <c r="U16" s="216">
        <v>113</v>
      </c>
      <c r="V16" s="217">
        <v>351</v>
      </c>
      <c r="W16" s="176">
        <f>MAX(O16:V16)</f>
        <v>351</v>
      </c>
      <c r="X16" s="176">
        <f>AVERAGE(U16:V16)</f>
        <v>232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-11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46"/>
      <c r="G18" s="346"/>
      <c r="H18" s="346"/>
      <c r="I18" s="346"/>
      <c r="J18" s="6"/>
      <c r="K18" s="8"/>
      <c r="L18" s="8"/>
      <c r="M18" s="8"/>
      <c r="N18" s="184" t="s">
        <v>22</v>
      </c>
      <c r="O18" s="215">
        <f>VLOOKUP(" 折舊",$B$40:$L$500,9,0)</f>
        <v>75</v>
      </c>
      <c r="P18" s="216">
        <f>VLOOKUP(" 折舊",$B$40:$L$500,8,0)</f>
        <v>83</v>
      </c>
      <c r="Q18" s="216">
        <f>VLOOKUP(" 折舊",$B$40:$L$500,7,0)</f>
        <v>75</v>
      </c>
      <c r="R18" s="216">
        <f>VLOOKUP(" 折舊",$B$40:$L$500,6,0)</f>
        <v>76</v>
      </c>
      <c r="S18" s="216">
        <f>VLOOKUP(" 折舊",$B$40:$L$500,5,0)</f>
        <v>83</v>
      </c>
      <c r="T18" s="216">
        <f>VLOOKUP(" 折舊",$B$40:$L$500,4,0)</f>
        <v>81</v>
      </c>
      <c r="U18" s="216">
        <f>VLOOKUP(" 折舊",$B$40:$L$500,3,0)</f>
        <v>79</v>
      </c>
      <c r="V18" s="217">
        <f>VLOOKUP(" 折舊",$B$40:$L$500,2,0)</f>
        <v>82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0</v>
      </c>
      <c r="P19" s="219">
        <f>VLOOKUP(" 攤提",$B$40:$L$500,8,0)</f>
        <v>0</v>
      </c>
      <c r="Q19" s="219">
        <f>VLOOKUP(" 攤提",$B$40:$L$500,7,0)</f>
        <v>0</v>
      </c>
      <c r="R19" s="219">
        <f>VLOOKUP(" 攤提",$B$40:$L$500,6,0)</f>
        <v>0</v>
      </c>
      <c r="S19" s="219">
        <f>VLOOKUP(" 攤提",$B$40:$L$500,5,0)</f>
        <v>0</v>
      </c>
      <c r="T19" s="219">
        <f>VLOOKUP(" 攤提",$B$40:$L$500,4,0)</f>
        <v>0</v>
      </c>
      <c r="U19" s="219">
        <f>VLOOKUP(" 攤提",$B$40:$L$500,3,0)</f>
        <v>0</v>
      </c>
      <c r="V19" s="220">
        <f>VLOOKUP(" 攤提",$B$40:$L$500,2,0)</f>
        <v>0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46"/>
      <c r="G20" s="346"/>
      <c r="H20" s="346"/>
      <c r="I20" s="346"/>
      <c r="J20" s="6"/>
      <c r="K20" s="8"/>
      <c r="L20" s="8"/>
      <c r="M20" s="8"/>
      <c r="N20" s="184" t="s">
        <v>24</v>
      </c>
      <c r="O20" s="221">
        <f>VLOOKUP("股東權益總額",$B$40:$L$500,9,0)</f>
        <v>5109</v>
      </c>
      <c r="P20" s="222">
        <f>VLOOKUP("股東權益總額",$B$40:$L$500,8,0)</f>
        <v>5153</v>
      </c>
      <c r="Q20" s="222">
        <f>VLOOKUP("股東權益總額",$B$40:$L$500,7,0)</f>
        <v>5063</v>
      </c>
      <c r="R20" s="222">
        <f>VLOOKUP("股東權益總額",$B$40:$L$500,6,0)</f>
        <v>5306</v>
      </c>
      <c r="S20" s="222">
        <f>VLOOKUP("股東權益總額",$B$40:$L$500,5,0)</f>
        <v>5640</v>
      </c>
      <c r="T20" s="222">
        <f>VLOOKUP("股東權益總額",$B$40:$L$500,4,0)</f>
        <v>5739</v>
      </c>
      <c r="U20" s="222">
        <f>VLOOKUP("股東權益總額",$B$40:$L$500,3,0)</f>
        <v>5598</v>
      </c>
      <c r="V20" s="223">
        <f>VLOOKUP("股東權益總額",$B$40:$L$500,2,0)</f>
        <v>6047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1387</v>
      </c>
      <c r="P21" s="225">
        <f>VLOOKUP(" 普通股股本",$B$40:$L$500,8,0)</f>
        <v>1387</v>
      </c>
      <c r="Q21" s="225">
        <f>VLOOKUP(" 普通股股本",$B$40:$L$500,7,0)</f>
        <v>1387</v>
      </c>
      <c r="R21" s="225">
        <f>VLOOKUP(" 普通股股本",$B$40:$L$500,6,0)</f>
        <v>1388</v>
      </c>
      <c r="S21" s="225">
        <f>VLOOKUP(" 普通股股本",$B$40:$L$500,5,0)</f>
        <v>1394</v>
      </c>
      <c r="T21" s="225">
        <f>VLOOKUP(" 普通股股本",$B$40:$L$500,4,0)</f>
        <v>1396</v>
      </c>
      <c r="U21" s="225">
        <f>VLOOKUP(" 普通股股本",$B$40:$L$500,3,0)</f>
        <v>1396</v>
      </c>
      <c r="V21" s="226">
        <f>VLOOKUP(" 普通股股本",$B$40:$L$500,2,0)</f>
        <v>1397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46"/>
      <c r="G22" s="346"/>
      <c r="H22" s="346"/>
      <c r="I22" s="346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0.19719471947194719</v>
      </c>
      <c r="P22" s="228">
        <f t="shared" si="0"/>
        <v>0.23047473200612559</v>
      </c>
      <c r="Q22" s="228">
        <f t="shared" si="0"/>
        <v>0.20969945355191258</v>
      </c>
      <c r="R22" s="228">
        <f t="shared" si="0"/>
        <v>0.22003577817531306</v>
      </c>
      <c r="S22" s="228">
        <f t="shared" si="0"/>
        <v>0.19843924191750278</v>
      </c>
      <c r="T22" s="228">
        <f t="shared" si="0"/>
        <v>0.21764327108821635</v>
      </c>
      <c r="U22" s="228">
        <f t="shared" si="0"/>
        <v>0.22662076878944348</v>
      </c>
      <c r="V22" s="229">
        <f t="shared" si="0"/>
        <v>0.25075987841945291</v>
      </c>
      <c r="W22" s="359">
        <f>MIN(O22:V23)</f>
        <v>4.6204620462046202E-2</v>
      </c>
      <c r="X22" s="359">
        <f>MAX(O22:V23)</f>
        <v>0.25075987841945291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4.6204620462046202E-2</v>
      </c>
      <c r="P23" s="228">
        <f t="shared" ref="P23:V23" si="1">P8/P3</f>
        <v>0.10719754977029096</v>
      </c>
      <c r="Q23" s="228">
        <f t="shared" si="1"/>
        <v>7.1721311475409832E-2</v>
      </c>
      <c r="R23" s="228">
        <f t="shared" si="1"/>
        <v>0.10673822301729279</v>
      </c>
      <c r="S23" s="228">
        <f t="shared" si="1"/>
        <v>8.807134894091416E-2</v>
      </c>
      <c r="T23" s="228">
        <f t="shared" si="1"/>
        <v>9.2079845460399226E-2</v>
      </c>
      <c r="U23" s="228">
        <f t="shared" si="1"/>
        <v>8.9500860585197933E-2</v>
      </c>
      <c r="V23" s="229">
        <f t="shared" si="1"/>
        <v>0.16261398176291794</v>
      </c>
      <c r="W23" s="359"/>
      <c r="X23" s="359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0.27377398720682306</v>
      </c>
      <c r="P24" s="228">
        <f t="shared" si="2"/>
        <v>0.29435925520262868</v>
      </c>
      <c r="Q24" s="228">
        <f t="shared" si="2"/>
        <v>0.3065333515956718</v>
      </c>
      <c r="R24" s="228">
        <f t="shared" si="2"/>
        <v>0.28225588314849881</v>
      </c>
      <c r="S24" s="228">
        <f t="shared" si="2"/>
        <v>0.28697850821744625</v>
      </c>
      <c r="T24" s="228">
        <f t="shared" si="2"/>
        <v>0.28145736822336298</v>
      </c>
      <c r="U24" s="228">
        <f t="shared" si="2"/>
        <v>0.33460121240936647</v>
      </c>
      <c r="V24" s="229">
        <f t="shared" si="2"/>
        <v>0.3130750880381688</v>
      </c>
      <c r="W24" s="177">
        <f>MIN(O24:V24)</f>
        <v>0.27377398720682306</v>
      </c>
      <c r="X24" s="177">
        <f>MAX(O24:V24)</f>
        <v>0.33460121240936647</v>
      </c>
      <c r="Y24" s="174"/>
      <c r="Z24" s="8"/>
      <c r="AA24" s="127"/>
      <c r="AB24" s="7"/>
      <c r="AC24" s="8"/>
      <c r="AD24" s="9"/>
    </row>
    <row r="25" spans="1:30" ht="5.0999999999999996" customHeight="1">
      <c r="A25" s="355"/>
      <c r="B25" s="356"/>
      <c r="C25" s="356"/>
      <c r="D25" s="356"/>
      <c r="E25" s="356"/>
      <c r="F25" s="356"/>
      <c r="G25" s="356"/>
      <c r="H25" s="356"/>
      <c r="I25" s="356"/>
      <c r="J25" s="357"/>
      <c r="K25" s="8"/>
      <c r="L25" s="8"/>
      <c r="M25" s="8"/>
      <c r="N25" s="184" t="s">
        <v>27</v>
      </c>
      <c r="O25" s="230">
        <f>P25</f>
        <v>101.9639303482587</v>
      </c>
      <c r="P25" s="231">
        <f t="shared" ref="P25:V25" si="3">IF(ISNUMBER(365/(P4*4/((O12+P12)/2))),365/(P4*4/((O12+P12)/2)),0)</f>
        <v>101.9639303482587</v>
      </c>
      <c r="Q25" s="231">
        <f t="shared" si="3"/>
        <v>94.168107173725161</v>
      </c>
      <c r="R25" s="231">
        <f t="shared" si="3"/>
        <v>82.948203363914374</v>
      </c>
      <c r="S25" s="231">
        <f t="shared" si="3"/>
        <v>82.524773991655081</v>
      </c>
      <c r="T25" s="231">
        <f t="shared" si="3"/>
        <v>100.67541152263375</v>
      </c>
      <c r="U25" s="231">
        <f t="shared" si="3"/>
        <v>91.69000370919882</v>
      </c>
      <c r="V25" s="232">
        <f t="shared" si="3"/>
        <v>87.825811359026375</v>
      </c>
      <c r="W25" s="178">
        <f>MIN(O25:V27)</f>
        <v>41.028566599053413</v>
      </c>
      <c r="X25" s="179">
        <f>MAX(O25:V27)</f>
        <v>116.25120734063104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52" t="s">
        <v>1881</v>
      </c>
      <c r="G26" s="352"/>
      <c r="H26" s="352"/>
      <c r="I26" s="352"/>
      <c r="J26" s="124"/>
      <c r="K26" s="8"/>
      <c r="L26" s="8"/>
      <c r="M26" s="8"/>
      <c r="N26" s="184" t="s">
        <v>28</v>
      </c>
      <c r="O26" s="233">
        <f>P26</f>
        <v>114.79613323124043</v>
      </c>
      <c r="P26" s="234">
        <f t="shared" ref="P26:V27" si="4">IF(ISNUMBER(365/(P3*4/((O10+P10)/2))),365/(P3*4/((O10+P10)/2)),0)</f>
        <v>114.79613323124043</v>
      </c>
      <c r="Q26" s="234">
        <f t="shared" si="4"/>
        <v>106.83230874316941</v>
      </c>
      <c r="R26" s="234">
        <f t="shared" si="4"/>
        <v>98.786150864639239</v>
      </c>
      <c r="S26" s="234">
        <f t="shared" si="4"/>
        <v>100.22749442586399</v>
      </c>
      <c r="T26" s="234">
        <f t="shared" si="4"/>
        <v>116.25120734063104</v>
      </c>
      <c r="U26" s="234">
        <f t="shared" si="4"/>
        <v>106.01333907056799</v>
      </c>
      <c r="V26" s="235">
        <f t="shared" si="4"/>
        <v>101.90507852077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67.052860696517413</v>
      </c>
      <c r="P27" s="231">
        <f t="shared" si="4"/>
        <v>67.052860696517413</v>
      </c>
      <c r="Q27" s="231">
        <f t="shared" si="4"/>
        <v>57.534031979256696</v>
      </c>
      <c r="R27" s="231">
        <f t="shared" si="4"/>
        <v>49.043386850152906</v>
      </c>
      <c r="S27" s="231">
        <f t="shared" si="4"/>
        <v>44.673157162726014</v>
      </c>
      <c r="T27" s="231">
        <f t="shared" si="4"/>
        <v>52.60956790123457</v>
      </c>
      <c r="U27" s="231">
        <f t="shared" si="4"/>
        <v>48.671179525222556</v>
      </c>
      <c r="V27" s="232">
        <f t="shared" si="4"/>
        <v>41.028566599053413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46"/>
      <c r="G28" s="346"/>
      <c r="H28" s="346"/>
      <c r="I28" s="346"/>
      <c r="J28" s="6"/>
      <c r="K28" s="8"/>
      <c r="L28" s="8"/>
      <c r="M28" s="8"/>
      <c r="N28" s="184" t="s">
        <v>30</v>
      </c>
      <c r="O28" s="236">
        <f>O26+O27</f>
        <v>181.84899392775785</v>
      </c>
      <c r="P28" s="237">
        <f t="shared" ref="P28:V28" si="5">P26+P27</f>
        <v>181.84899392775785</v>
      </c>
      <c r="Q28" s="237">
        <f t="shared" si="5"/>
        <v>164.36634072242612</v>
      </c>
      <c r="R28" s="237">
        <f t="shared" si="5"/>
        <v>147.82953771479214</v>
      </c>
      <c r="S28" s="237">
        <f t="shared" si="5"/>
        <v>144.90065158858999</v>
      </c>
      <c r="T28" s="237">
        <f t="shared" si="5"/>
        <v>168.86077524186561</v>
      </c>
      <c r="U28" s="237">
        <f t="shared" si="5"/>
        <v>154.68451859579056</v>
      </c>
      <c r="V28" s="238">
        <f t="shared" si="5"/>
        <v>142.93364511982341</v>
      </c>
      <c r="W28" s="180">
        <f>MIN(O28:V28)</f>
        <v>142.93364511982341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75</v>
      </c>
      <c r="P29" s="216">
        <f t="shared" ref="P29:V29" si="6">P18+P19</f>
        <v>83</v>
      </c>
      <c r="Q29" s="216">
        <f t="shared" si="6"/>
        <v>75</v>
      </c>
      <c r="R29" s="216">
        <f t="shared" si="6"/>
        <v>76</v>
      </c>
      <c r="S29" s="216">
        <f t="shared" si="6"/>
        <v>83</v>
      </c>
      <c r="T29" s="216">
        <f t="shared" si="6"/>
        <v>81</v>
      </c>
      <c r="U29" s="216">
        <f t="shared" si="6"/>
        <v>79</v>
      </c>
      <c r="V29" s="217">
        <f t="shared" si="6"/>
        <v>82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46"/>
      <c r="G30" s="346"/>
      <c r="H30" s="346"/>
      <c r="I30" s="346"/>
      <c r="J30" s="6"/>
      <c r="K30" s="8"/>
      <c r="L30" s="8"/>
      <c r="M30" s="8"/>
      <c r="N30" s="184" t="s">
        <v>32</v>
      </c>
      <c r="O30" s="227">
        <f>P30</f>
        <v>6.6135458167330671E-2</v>
      </c>
      <c r="P30" s="228">
        <f t="shared" ref="P30:V30" si="7">P29/(IF(P3-O3&gt;0,P3,O4)-P16)</f>
        <v>6.6135458167330671E-2</v>
      </c>
      <c r="Q30" s="228">
        <f t="shared" si="7"/>
        <v>5.2668539325842693E-2</v>
      </c>
      <c r="R30" s="228">
        <f t="shared" si="7"/>
        <v>4.6228710462287104E-2</v>
      </c>
      <c r="S30" s="228">
        <f t="shared" si="7"/>
        <v>4.6866177300959912E-2</v>
      </c>
      <c r="T30" s="228">
        <f t="shared" si="7"/>
        <v>5.7487579843860895E-2</v>
      </c>
      <c r="U30" s="228">
        <f t="shared" si="7"/>
        <v>4.8466257668711654E-2</v>
      </c>
      <c r="V30" s="229">
        <f t="shared" si="7"/>
        <v>5.052372150338879E-2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7.7081192189105863E-2</v>
      </c>
      <c r="P31" s="240">
        <f t="shared" si="8"/>
        <v>8.2587064676616917E-2</v>
      </c>
      <c r="Q31" s="240">
        <f t="shared" si="8"/>
        <v>6.482281763180639E-2</v>
      </c>
      <c r="R31" s="240">
        <f t="shared" si="8"/>
        <v>5.8103975535168197E-2</v>
      </c>
      <c r="S31" s="240">
        <f>S29/S4</f>
        <v>5.7719054242002785E-2</v>
      </c>
      <c r="T31" s="240">
        <f t="shared" si="8"/>
        <v>6.6666666666666666E-2</v>
      </c>
      <c r="U31" s="240">
        <f t="shared" si="8"/>
        <v>5.8605341246290799E-2</v>
      </c>
      <c r="V31" s="241">
        <f t="shared" si="8"/>
        <v>5.544286680189317E-2</v>
      </c>
      <c r="W31" s="354">
        <f>AVERAGE(O32:V32)</f>
        <v>1.1703857353023512</v>
      </c>
      <c r="X31" s="354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46"/>
      <c r="G32" s="346"/>
      <c r="H32" s="346"/>
      <c r="I32" s="346"/>
      <c r="J32" s="6"/>
      <c r="K32" s="8"/>
      <c r="L32" s="8"/>
      <c r="M32" s="8"/>
      <c r="N32" s="353" t="s">
        <v>33</v>
      </c>
      <c r="O32" s="242">
        <f t="shared" ref="O32:V32" si="9">IF(O8&gt;0,IF(O15&gt;O8,IF(ISNUMBER(O15/O8),O15/O8,0),0),0)</f>
        <v>1.8928571428571428</v>
      </c>
      <c r="P32" s="243">
        <f t="shared" si="9"/>
        <v>1.2785714285714285</v>
      </c>
      <c r="Q32" s="243">
        <f t="shared" si="9"/>
        <v>1.6761904761904762</v>
      </c>
      <c r="R32" s="243">
        <f t="shared" si="9"/>
        <v>1.3351955307262571</v>
      </c>
      <c r="S32" s="243">
        <f t="shared" si="9"/>
        <v>1.3734177215189873</v>
      </c>
      <c r="T32" s="243">
        <f t="shared" si="9"/>
        <v>0</v>
      </c>
      <c r="U32" s="243">
        <f t="shared" si="9"/>
        <v>0</v>
      </c>
      <c r="V32" s="244">
        <f t="shared" si="9"/>
        <v>1.8068535825545171</v>
      </c>
      <c r="W32" s="354"/>
      <c r="X32" s="354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53"/>
      <c r="O33" s="242">
        <f>$W$31</f>
        <v>1.1703857353023512</v>
      </c>
      <c r="P33" s="243">
        <f t="shared" ref="P33:V33" si="10">$W$31</f>
        <v>1.1703857353023512</v>
      </c>
      <c r="Q33" s="243">
        <f t="shared" si="10"/>
        <v>1.1703857353023512</v>
      </c>
      <c r="R33" s="243">
        <f t="shared" si="10"/>
        <v>1.1703857353023512</v>
      </c>
      <c r="S33" s="243">
        <f t="shared" si="10"/>
        <v>1.1703857353023512</v>
      </c>
      <c r="T33" s="243">
        <f t="shared" si="10"/>
        <v>1.1703857353023512</v>
      </c>
      <c r="U33" s="243">
        <f t="shared" si="10"/>
        <v>1.1703857353023512</v>
      </c>
      <c r="V33" s="244">
        <f t="shared" si="10"/>
        <v>1.1703857353023512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46"/>
      <c r="G34" s="346"/>
      <c r="H34" s="346"/>
      <c r="I34" s="346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57</v>
      </c>
      <c r="P34" s="246">
        <f t="shared" si="11"/>
        <v>118</v>
      </c>
      <c r="Q34" s="246">
        <f t="shared" si="11"/>
        <v>122</v>
      </c>
      <c r="R34" s="246">
        <f t="shared" si="11"/>
        <v>190</v>
      </c>
      <c r="S34" s="246">
        <f t="shared" si="11"/>
        <v>162</v>
      </c>
      <c r="T34" s="246">
        <f t="shared" si="11"/>
        <v>168</v>
      </c>
      <c r="U34" s="246">
        <f t="shared" si="11"/>
        <v>218</v>
      </c>
      <c r="V34" s="247">
        <f t="shared" si="11"/>
        <v>297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0.86363636363636365</v>
      </c>
      <c r="P35" s="228">
        <f t="shared" si="12"/>
        <v>0.86131386861313863</v>
      </c>
      <c r="Q35" s="228">
        <f t="shared" si="12"/>
        <v>1</v>
      </c>
      <c r="R35" s="228">
        <f t="shared" si="12"/>
        <v>0.91346153846153844</v>
      </c>
      <c r="S35" s="228">
        <f t="shared" si="12"/>
        <v>0.84816753926701571</v>
      </c>
      <c r="T35" s="228">
        <f t="shared" si="12"/>
        <v>0.97674418604651159</v>
      </c>
      <c r="U35" s="228">
        <f t="shared" si="12"/>
        <v>1.0092592592592593</v>
      </c>
      <c r="V35" s="229">
        <f>IF(ISNUMBER(V6),V34/V7,1)</f>
        <v>0.82499999999999996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4.8171451042076291E-2</v>
      </c>
      <c r="Q36" s="249">
        <f>(Q8+P8)*2/(O20+Q20)</f>
        <v>4.8171451042076291E-2</v>
      </c>
      <c r="R36" s="249">
        <f>((R8+Q8+P8)/3)*4/(O20+R20)</f>
        <v>5.4280684909585535E-2</v>
      </c>
      <c r="S36" s="249">
        <f>(S8+R8+Q8+P8)/(O20+S20)</f>
        <v>5.4144571588054705E-2</v>
      </c>
      <c r="T36" s="249">
        <f>(T8+S8+R8+Q8)/(P20+T20)</f>
        <v>5.3709144326110909E-2</v>
      </c>
      <c r="U36" s="249">
        <f>(U8+T8+S8+R8)/(Q20+U20)</f>
        <v>5.965669261795329E-2</v>
      </c>
      <c r="V36" s="250">
        <f>(V8+U8+T8+S8)/(R20+V20)</f>
        <v>6.8528142341231391E-2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-14</v>
      </c>
      <c r="P37" s="125">
        <f>P15-P16</f>
        <v>128</v>
      </c>
      <c r="Q37" s="125">
        <f t="shared" ref="Q37:V37" si="13">Q15-Q16</f>
        <v>136</v>
      </c>
      <c r="R37" s="125">
        <f t="shared" si="13"/>
        <v>206</v>
      </c>
      <c r="S37" s="125">
        <f t="shared" si="13"/>
        <v>194</v>
      </c>
      <c r="T37" s="125">
        <f t="shared" si="13"/>
        <v>99</v>
      </c>
      <c r="U37" s="125">
        <f t="shared" si="13"/>
        <v>31</v>
      </c>
      <c r="V37" s="125">
        <f t="shared" si="13"/>
        <v>229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1974</v>
      </c>
      <c r="D41" s="14">
        <v>1743</v>
      </c>
      <c r="E41" s="14">
        <v>1553</v>
      </c>
      <c r="F41" s="14">
        <v>1794</v>
      </c>
      <c r="G41" s="14">
        <v>1677</v>
      </c>
      <c r="H41" s="14">
        <v>1464</v>
      </c>
      <c r="I41" s="14">
        <v>1306</v>
      </c>
      <c r="J41" s="14">
        <v>1212</v>
      </c>
      <c r="AA41" s="127"/>
    </row>
    <row r="42" spans="1:31" s="3" customFormat="1">
      <c r="B42" s="3" t="s">
        <v>11</v>
      </c>
      <c r="C42" s="14">
        <v>1479</v>
      </c>
      <c r="D42" s="14">
        <v>1348</v>
      </c>
      <c r="E42" s="14">
        <v>1215</v>
      </c>
      <c r="F42" s="14">
        <v>1438</v>
      </c>
      <c r="G42" s="14">
        <v>1308</v>
      </c>
      <c r="H42" s="14">
        <v>1157</v>
      </c>
      <c r="I42" s="14">
        <v>1005</v>
      </c>
      <c r="J42" s="14">
        <v>973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495</v>
      </c>
      <c r="D43" s="14">
        <v>395</v>
      </c>
      <c r="E43" s="14">
        <v>339</v>
      </c>
      <c r="F43" s="14">
        <v>356</v>
      </c>
      <c r="G43" s="14">
        <v>370</v>
      </c>
      <c r="H43" s="14">
        <v>307</v>
      </c>
      <c r="I43" s="14">
        <v>301</v>
      </c>
      <c r="J43" s="14">
        <v>239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495</v>
      </c>
      <c r="D45" s="14">
        <v>395</v>
      </c>
      <c r="E45" s="14">
        <v>339</v>
      </c>
      <c r="F45" s="14">
        <v>356</v>
      </c>
      <c r="G45" s="14">
        <v>370</v>
      </c>
      <c r="H45" s="14">
        <v>307</v>
      </c>
      <c r="I45" s="14">
        <v>301</v>
      </c>
      <c r="J45" s="14">
        <v>239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198</v>
      </c>
      <c r="D46" s="14">
        <v>177</v>
      </c>
      <c r="E46" s="14">
        <v>171</v>
      </c>
      <c r="F46" s="14">
        <v>195</v>
      </c>
      <c r="G46" s="14">
        <v>180</v>
      </c>
      <c r="H46" s="14">
        <v>184</v>
      </c>
      <c r="I46" s="14">
        <v>183</v>
      </c>
      <c r="J46" s="14">
        <v>182</v>
      </c>
      <c r="N46" s="126"/>
      <c r="AA46" s="127"/>
    </row>
    <row r="47" spans="1:31" s="3" customFormat="1">
      <c r="B47" s="3" t="s">
        <v>59</v>
      </c>
      <c r="C47" s="14">
        <v>63</v>
      </c>
      <c r="D47" s="14">
        <v>58</v>
      </c>
      <c r="E47" s="14">
        <v>55</v>
      </c>
      <c r="F47" s="14">
        <v>72</v>
      </c>
      <c r="G47" s="14">
        <v>59</v>
      </c>
      <c r="H47" s="14">
        <v>66</v>
      </c>
      <c r="I47" s="14">
        <v>65</v>
      </c>
      <c r="J47" s="14">
        <v>68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90</v>
      </c>
      <c r="D48" s="14">
        <v>77</v>
      </c>
      <c r="E48" s="14">
        <v>74</v>
      </c>
      <c r="F48" s="14">
        <v>79</v>
      </c>
      <c r="G48" s="14">
        <v>76</v>
      </c>
      <c r="H48" s="14">
        <v>73</v>
      </c>
      <c r="I48" s="14">
        <v>74</v>
      </c>
      <c r="J48" s="14">
        <v>63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45</v>
      </c>
      <c r="D49" s="14">
        <v>42</v>
      </c>
      <c r="E49" s="14">
        <v>41</v>
      </c>
      <c r="F49" s="14">
        <v>44</v>
      </c>
      <c r="G49" s="14">
        <v>44</v>
      </c>
      <c r="H49" s="14">
        <v>46</v>
      </c>
      <c r="I49" s="14">
        <v>44</v>
      </c>
      <c r="J49" s="14">
        <v>51</v>
      </c>
      <c r="N49" s="116" t="s">
        <v>1959</v>
      </c>
      <c r="O49" s="347" t="s">
        <v>1961</v>
      </c>
      <c r="P49" s="347" t="s">
        <v>1962</v>
      </c>
      <c r="Q49" s="349" t="s">
        <v>1963</v>
      </c>
      <c r="R49" s="347" t="s">
        <v>1964</v>
      </c>
      <c r="S49" s="321" t="s">
        <v>1965</v>
      </c>
      <c r="T49" s="344" t="s">
        <v>1966</v>
      </c>
      <c r="U49" s="321" t="s">
        <v>1967</v>
      </c>
      <c r="V49" s="321" t="s">
        <v>1968</v>
      </c>
      <c r="W49" s="321" t="s">
        <v>1969</v>
      </c>
      <c r="X49" s="321" t="s">
        <v>1970</v>
      </c>
      <c r="Y49" s="321" t="s">
        <v>1971</v>
      </c>
      <c r="AA49" s="127"/>
    </row>
    <row r="50" spans="2:27" s="3" customFormat="1" ht="17.25" thickBot="1">
      <c r="B50" s="3" t="s">
        <v>62</v>
      </c>
      <c r="C50" s="14">
        <v>297</v>
      </c>
      <c r="D50" s="14">
        <v>218</v>
      </c>
      <c r="E50" s="14">
        <v>168</v>
      </c>
      <c r="F50" s="14">
        <v>162</v>
      </c>
      <c r="G50" s="14">
        <v>190</v>
      </c>
      <c r="H50" s="14">
        <v>122</v>
      </c>
      <c r="I50" s="14">
        <v>118</v>
      </c>
      <c r="J50" s="14">
        <v>57</v>
      </c>
      <c r="N50" s="117" t="s">
        <v>1960</v>
      </c>
      <c r="O50" s="348"/>
      <c r="P50" s="348"/>
      <c r="Q50" s="350"/>
      <c r="R50" s="348"/>
      <c r="S50" s="322"/>
      <c r="T50" s="345"/>
      <c r="U50" s="322"/>
      <c r="V50" s="322"/>
      <c r="W50" s="322"/>
      <c r="X50" s="322"/>
      <c r="Y50" s="322"/>
      <c r="AA50" s="127"/>
    </row>
    <row r="51" spans="2:27" s="3" customFormat="1">
      <c r="B51" s="3" t="s">
        <v>63</v>
      </c>
      <c r="C51" s="14">
        <v>6</v>
      </c>
      <c r="D51" s="14">
        <v>5</v>
      </c>
      <c r="E51" s="14">
        <v>4</v>
      </c>
      <c r="F51" s="14">
        <v>3</v>
      </c>
      <c r="G51" s="14">
        <v>4</v>
      </c>
      <c r="H51" s="14">
        <v>4</v>
      </c>
      <c r="I51" s="14">
        <v>4</v>
      </c>
      <c r="J51" s="14">
        <v>4</v>
      </c>
      <c r="N51" s="129" t="s">
        <v>2060</v>
      </c>
      <c r="O51" s="323">
        <v>0.60416666666666663</v>
      </c>
      <c r="P51" s="326">
        <v>58.9</v>
      </c>
      <c r="Q51" s="329">
        <v>58.9</v>
      </c>
      <c r="R51" s="332">
        <v>59</v>
      </c>
      <c r="S51" s="335" t="s">
        <v>2061</v>
      </c>
      <c r="T51" s="338">
        <v>1160</v>
      </c>
      <c r="U51" s="341">
        <v>58.3</v>
      </c>
      <c r="V51" s="341">
        <v>58.9</v>
      </c>
      <c r="W51" s="341">
        <v>60.1</v>
      </c>
      <c r="X51" s="341">
        <v>58</v>
      </c>
      <c r="Y51" s="130" t="s">
        <v>1973</v>
      </c>
      <c r="AA51" s="127"/>
    </row>
    <row r="52" spans="2:27" s="3" customFormat="1">
      <c r="B52" s="3" t="s">
        <v>64</v>
      </c>
      <c r="C52" s="14">
        <v>5</v>
      </c>
      <c r="D52" s="14">
        <v>1</v>
      </c>
      <c r="E52" s="14">
        <v>3</v>
      </c>
      <c r="F52" s="14">
        <v>2</v>
      </c>
      <c r="G52" s="14">
        <v>7</v>
      </c>
      <c r="H52" s="14">
        <v>2</v>
      </c>
      <c r="I52" s="14">
        <v>4</v>
      </c>
      <c r="J52" s="14">
        <v>2</v>
      </c>
      <c r="N52" s="131" t="s">
        <v>1972</v>
      </c>
      <c r="O52" s="324"/>
      <c r="P52" s="327"/>
      <c r="Q52" s="330"/>
      <c r="R52" s="333"/>
      <c r="S52" s="336"/>
      <c r="T52" s="339"/>
      <c r="U52" s="342"/>
      <c r="V52" s="342"/>
      <c r="W52" s="342"/>
      <c r="X52" s="342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24"/>
      <c r="P53" s="327"/>
      <c r="Q53" s="330"/>
      <c r="R53" s="333"/>
      <c r="S53" s="336"/>
      <c r="T53" s="339"/>
      <c r="U53" s="342"/>
      <c r="V53" s="342"/>
      <c r="W53" s="342"/>
      <c r="X53" s="342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3</v>
      </c>
      <c r="J54" s="14">
        <v>0</v>
      </c>
      <c r="N54" s="134"/>
      <c r="O54" s="325"/>
      <c r="P54" s="328"/>
      <c r="Q54" s="331"/>
      <c r="R54" s="334"/>
      <c r="S54" s="337"/>
      <c r="T54" s="340"/>
      <c r="U54" s="343"/>
      <c r="V54" s="343"/>
      <c r="W54" s="343"/>
      <c r="X54" s="343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18" t="s">
        <v>2055</v>
      </c>
      <c r="O55" s="318" t="s">
        <v>2056</v>
      </c>
      <c r="P55" s="319"/>
      <c r="Q55" s="319"/>
      <c r="R55" s="319"/>
      <c r="S55" s="319"/>
      <c r="T55" s="319"/>
      <c r="U55" s="319"/>
      <c r="V55" s="319"/>
      <c r="W55" s="319"/>
      <c r="X55" s="319"/>
      <c r="Y55" s="320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40</v>
      </c>
      <c r="D61" s="14">
        <v>0</v>
      </c>
      <c r="E61" s="14">
        <v>0</v>
      </c>
      <c r="F61" s="14">
        <v>23</v>
      </c>
      <c r="G61" s="14">
        <v>5</v>
      </c>
      <c r="H61" s="14">
        <v>-7</v>
      </c>
      <c r="I61" s="14">
        <v>7</v>
      </c>
      <c r="J61" s="14">
        <v>3</v>
      </c>
      <c r="AA61" s="127"/>
    </row>
    <row r="62" spans="2:27" s="3" customFormat="1">
      <c r="B62" s="3" t="s">
        <v>74</v>
      </c>
      <c r="C62" s="14">
        <v>2</v>
      </c>
      <c r="D62" s="14">
        <v>1</v>
      </c>
      <c r="E62" s="14">
        <v>1</v>
      </c>
      <c r="F62" s="14">
        <v>3</v>
      </c>
      <c r="G62" s="14">
        <v>2</v>
      </c>
      <c r="H62" s="14">
        <v>4</v>
      </c>
      <c r="I62" s="14">
        <v>4</v>
      </c>
      <c r="J62" s="14">
        <v>3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53</v>
      </c>
      <c r="D63" s="14">
        <v>8</v>
      </c>
      <c r="E63" s="14">
        <v>8</v>
      </c>
      <c r="F63" s="14">
        <v>31</v>
      </c>
      <c r="G63" s="14">
        <v>18</v>
      </c>
      <c r="H63" s="14">
        <v>4</v>
      </c>
      <c r="I63" s="14">
        <v>21</v>
      </c>
      <c r="J63" s="14">
        <v>12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3</v>
      </c>
      <c r="D64" s="14">
        <v>2</v>
      </c>
      <c r="E64" s="14">
        <v>1</v>
      </c>
      <c r="F64" s="14">
        <v>2</v>
      </c>
      <c r="G64" s="14">
        <v>2</v>
      </c>
      <c r="H64" s="14">
        <v>2</v>
      </c>
      <c r="I64" s="14">
        <v>2</v>
      </c>
      <c r="J64" s="14">
        <v>2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-1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-12</v>
      </c>
      <c r="D74" s="14">
        <v>9</v>
      </c>
      <c r="E74" s="14">
        <v>3</v>
      </c>
      <c r="F74" s="14">
        <v>0</v>
      </c>
      <c r="G74" s="14">
        <v>-2</v>
      </c>
      <c r="H74" s="14">
        <v>2</v>
      </c>
      <c r="I74" s="14">
        <v>0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2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-9</v>
      </c>
      <c r="D77" s="14">
        <v>11</v>
      </c>
      <c r="E77" s="14">
        <v>4</v>
      </c>
      <c r="F77" s="14">
        <v>2</v>
      </c>
      <c r="G77" s="14">
        <v>0</v>
      </c>
      <c r="H77" s="14">
        <v>4</v>
      </c>
      <c r="I77" s="14">
        <v>2</v>
      </c>
      <c r="J77" s="14">
        <v>3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360</v>
      </c>
      <c r="D78" s="14">
        <v>216</v>
      </c>
      <c r="E78" s="14">
        <v>172</v>
      </c>
      <c r="F78" s="14">
        <v>191</v>
      </c>
      <c r="G78" s="14">
        <v>208</v>
      </c>
      <c r="H78" s="14">
        <v>122</v>
      </c>
      <c r="I78" s="14">
        <v>137</v>
      </c>
      <c r="J78" s="14">
        <v>66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38</v>
      </c>
      <c r="D79" s="14">
        <v>60</v>
      </c>
      <c r="E79" s="14">
        <v>28</v>
      </c>
      <c r="F79" s="14">
        <v>33</v>
      </c>
      <c r="G79" s="14">
        <v>29</v>
      </c>
      <c r="H79" s="14">
        <v>17</v>
      </c>
      <c r="I79" s="14">
        <v>-3</v>
      </c>
      <c r="J79" s="14">
        <v>11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321</v>
      </c>
      <c r="D80" s="14">
        <v>156</v>
      </c>
      <c r="E80" s="14">
        <v>143</v>
      </c>
      <c r="F80" s="14">
        <v>158</v>
      </c>
      <c r="G80" s="14">
        <v>179</v>
      </c>
      <c r="H80" s="14">
        <v>105</v>
      </c>
      <c r="I80" s="14">
        <v>140</v>
      </c>
      <c r="J80" s="14">
        <v>56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321</v>
      </c>
      <c r="D84" s="14">
        <v>156</v>
      </c>
      <c r="E84" s="14">
        <v>143</v>
      </c>
      <c r="F84" s="14">
        <v>158</v>
      </c>
      <c r="G84" s="14">
        <v>179</v>
      </c>
      <c r="H84" s="14">
        <v>105</v>
      </c>
      <c r="I84" s="14">
        <v>140</v>
      </c>
      <c r="J84" s="14">
        <v>56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321</v>
      </c>
      <c r="D88" s="14">
        <v>156</v>
      </c>
      <c r="E88" s="14">
        <v>143</v>
      </c>
      <c r="F88" s="14">
        <v>158</v>
      </c>
      <c r="G88" s="14">
        <v>179</v>
      </c>
      <c r="H88" s="14">
        <v>105</v>
      </c>
      <c r="I88" s="14">
        <v>140</v>
      </c>
      <c r="J88" s="14">
        <v>56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2.48</v>
      </c>
      <c r="D89" s="14">
        <v>1.2</v>
      </c>
      <c r="E89" s="14">
        <v>1.1100000000000001</v>
      </c>
      <c r="F89" s="14">
        <v>1.23</v>
      </c>
      <c r="G89" s="14">
        <v>1.39</v>
      </c>
      <c r="H89" s="14">
        <v>0.81</v>
      </c>
      <c r="I89" s="14">
        <v>1.08</v>
      </c>
      <c r="J89" s="14">
        <v>0.4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2.46</v>
      </c>
      <c r="D90" s="14">
        <v>1.19</v>
      </c>
      <c r="E90" s="14">
        <v>1.1000000000000001</v>
      </c>
      <c r="F90" s="14" t="s">
        <v>98</v>
      </c>
      <c r="G90" s="14">
        <v>1.37</v>
      </c>
      <c r="H90" s="14">
        <v>0.81</v>
      </c>
      <c r="I90" s="14">
        <v>1.08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1296</v>
      </c>
      <c r="D91" s="14">
        <v>1296</v>
      </c>
      <c r="E91" s="14">
        <v>1295</v>
      </c>
      <c r="F91" s="14">
        <v>1289</v>
      </c>
      <c r="G91" s="14">
        <v>1289</v>
      </c>
      <c r="H91" s="14">
        <v>1290</v>
      </c>
      <c r="I91" s="14">
        <v>1292</v>
      </c>
      <c r="J91" s="14">
        <v>1386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10</v>
      </c>
      <c r="D94" s="14">
        <v>10</v>
      </c>
      <c r="E94" s="14">
        <v>10</v>
      </c>
      <c r="F94" s="14">
        <v>10</v>
      </c>
      <c r="G94" s="14">
        <v>10</v>
      </c>
      <c r="H94" s="14">
        <v>10</v>
      </c>
      <c r="I94" s="14">
        <v>10</v>
      </c>
      <c r="J94" s="14">
        <v>6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362</v>
      </c>
      <c r="D96" s="14">
        <v>217</v>
      </c>
      <c r="E96" s="14">
        <v>173</v>
      </c>
      <c r="F96" s="14">
        <v>193</v>
      </c>
      <c r="G96" s="14">
        <v>210</v>
      </c>
      <c r="H96" s="14">
        <v>124</v>
      </c>
      <c r="I96" s="14">
        <v>139</v>
      </c>
      <c r="J96" s="14">
        <v>68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444</v>
      </c>
      <c r="D97" s="14">
        <v>297</v>
      </c>
      <c r="E97" s="14">
        <v>255</v>
      </c>
      <c r="F97" s="14">
        <v>275</v>
      </c>
      <c r="G97" s="14">
        <v>285</v>
      </c>
      <c r="H97" s="14">
        <v>199</v>
      </c>
      <c r="I97" s="14">
        <v>222</v>
      </c>
      <c r="J97" s="14">
        <v>143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321</v>
      </c>
      <c r="D98" s="14">
        <v>156</v>
      </c>
      <c r="E98" s="14">
        <v>143</v>
      </c>
      <c r="F98" s="14">
        <v>158</v>
      </c>
      <c r="G98" s="14">
        <v>179</v>
      </c>
      <c r="H98" s="14">
        <v>105</v>
      </c>
      <c r="I98" s="14">
        <v>137</v>
      </c>
      <c r="J98" s="14">
        <v>55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2537</v>
      </c>
      <c r="D125" s="14">
        <v>2322</v>
      </c>
      <c r="E125" s="14">
        <v>2203</v>
      </c>
      <c r="F125" s="14">
        <v>1986</v>
      </c>
      <c r="G125" s="14">
        <v>1711</v>
      </c>
      <c r="H125" s="14">
        <v>1693</v>
      </c>
      <c r="I125" s="14">
        <v>1569</v>
      </c>
      <c r="J125" s="14">
        <v>1506</v>
      </c>
      <c r="AA125" s="127"/>
    </row>
    <row r="126" spans="2:27" s="3" customFormat="1">
      <c r="B126" s="3" t="s">
        <v>153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2277</v>
      </c>
      <c r="D127" s="14">
        <v>2132</v>
      </c>
      <c r="E127" s="14">
        <v>1918</v>
      </c>
      <c r="F127" s="14">
        <v>2039</v>
      </c>
      <c r="G127" s="14">
        <v>1902</v>
      </c>
      <c r="H127" s="14">
        <v>1729</v>
      </c>
      <c r="I127" s="14">
        <v>1699</v>
      </c>
      <c r="J127" s="14">
        <v>1587</v>
      </c>
      <c r="AA127" s="127"/>
    </row>
    <row r="128" spans="2:27" s="3" customFormat="1">
      <c r="B128" s="3" t="s">
        <v>154</v>
      </c>
      <c r="C128" s="14">
        <v>12</v>
      </c>
      <c r="D128" s="14">
        <v>22</v>
      </c>
      <c r="E128" s="14">
        <v>12</v>
      </c>
      <c r="F128" s="14">
        <v>121</v>
      </c>
      <c r="G128" s="14">
        <v>101</v>
      </c>
      <c r="H128" s="14">
        <v>100</v>
      </c>
      <c r="I128" s="14">
        <v>89</v>
      </c>
      <c r="J128" s="14">
        <v>83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598</v>
      </c>
      <c r="D130" s="14">
        <v>732</v>
      </c>
      <c r="E130" s="14">
        <v>706</v>
      </c>
      <c r="F130" s="14">
        <v>695</v>
      </c>
      <c r="G130" s="14">
        <v>713</v>
      </c>
      <c r="H130" s="14">
        <v>693</v>
      </c>
      <c r="I130" s="14">
        <v>766</v>
      </c>
      <c r="J130" s="14">
        <v>711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105</v>
      </c>
      <c r="D132" s="14">
        <v>104</v>
      </c>
      <c r="E132" s="14">
        <v>99</v>
      </c>
      <c r="F132" s="14">
        <v>157</v>
      </c>
      <c r="G132" s="14">
        <v>168</v>
      </c>
      <c r="H132" s="14">
        <v>194</v>
      </c>
      <c r="I132" s="14">
        <v>154</v>
      </c>
      <c r="J132" s="14">
        <v>138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1</v>
      </c>
      <c r="D133" s="14">
        <v>4</v>
      </c>
      <c r="E133" s="14">
        <v>2</v>
      </c>
      <c r="F133" s="14">
        <v>0</v>
      </c>
      <c r="G133" s="14">
        <v>0</v>
      </c>
      <c r="H133" s="14">
        <v>0</v>
      </c>
      <c r="I133" s="14">
        <v>0</v>
      </c>
      <c r="J133" s="14">
        <v>1</v>
      </c>
      <c r="AA133" s="127"/>
    </row>
    <row r="134" spans="2:27" s="3" customFormat="1">
      <c r="B134" s="3" t="s">
        <v>157</v>
      </c>
      <c r="C134" s="14">
        <v>5898</v>
      </c>
      <c r="D134" s="14">
        <v>5828</v>
      </c>
      <c r="E134" s="14">
        <v>5422</v>
      </c>
      <c r="F134" s="14">
        <v>5260</v>
      </c>
      <c r="G134" s="14">
        <v>4756</v>
      </c>
      <c r="H134" s="14">
        <v>4652</v>
      </c>
      <c r="I134" s="14">
        <v>4588</v>
      </c>
      <c r="J134" s="14">
        <v>4345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225</v>
      </c>
      <c r="D135" s="14">
        <v>220</v>
      </c>
      <c r="E135" s="14">
        <v>229</v>
      </c>
      <c r="F135" s="14">
        <v>226</v>
      </c>
      <c r="G135" s="14">
        <v>224</v>
      </c>
      <c r="H135" s="14">
        <v>216</v>
      </c>
      <c r="I135" s="14">
        <v>221</v>
      </c>
      <c r="J135" s="14">
        <v>217</v>
      </c>
      <c r="AA135" s="127"/>
    </row>
    <row r="136" spans="2:27" s="3" customFormat="1">
      <c r="B136" s="3" t="s">
        <v>159</v>
      </c>
      <c r="C136" s="14">
        <v>167</v>
      </c>
      <c r="D136" s="14">
        <v>167</v>
      </c>
      <c r="E136" s="14">
        <v>167</v>
      </c>
      <c r="F136" s="14">
        <v>167</v>
      </c>
      <c r="G136" s="14">
        <v>167</v>
      </c>
      <c r="H136" s="14">
        <v>167</v>
      </c>
      <c r="I136" s="14">
        <v>167</v>
      </c>
      <c r="J136" s="14">
        <v>167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1204</v>
      </c>
      <c r="D137" s="14">
        <v>1185</v>
      </c>
      <c r="E137" s="14">
        <v>1192</v>
      </c>
      <c r="F137" s="14">
        <v>1204</v>
      </c>
      <c r="G137" s="14">
        <v>1169</v>
      </c>
      <c r="H137" s="14">
        <v>1152</v>
      </c>
      <c r="I137" s="14">
        <v>1167</v>
      </c>
      <c r="J137" s="14">
        <v>1156</v>
      </c>
      <c r="AA137" s="127"/>
    </row>
    <row r="138" spans="2:27" s="3" customFormat="1">
      <c r="B138" s="3" t="s">
        <v>161</v>
      </c>
      <c r="C138" s="14">
        <v>2397</v>
      </c>
      <c r="D138" s="14">
        <v>2320</v>
      </c>
      <c r="E138" s="14">
        <v>2314</v>
      </c>
      <c r="F138" s="14">
        <v>2333</v>
      </c>
      <c r="G138" s="14">
        <v>2253</v>
      </c>
      <c r="H138" s="14">
        <v>2027</v>
      </c>
      <c r="I138" s="14">
        <v>1971</v>
      </c>
      <c r="J138" s="14">
        <v>1948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425</v>
      </c>
      <c r="D139" s="14">
        <v>409</v>
      </c>
      <c r="E139" s="14">
        <v>408</v>
      </c>
      <c r="F139" s="14">
        <v>410</v>
      </c>
      <c r="G139" s="14">
        <v>393</v>
      </c>
      <c r="H139" s="14">
        <v>387</v>
      </c>
      <c r="I139" s="14">
        <v>385</v>
      </c>
      <c r="J139" s="14">
        <v>379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-2190</v>
      </c>
      <c r="D141" s="14">
        <v>-2071</v>
      </c>
      <c r="E141" s="14">
        <v>-2006</v>
      </c>
      <c r="F141" s="14">
        <v>-1947</v>
      </c>
      <c r="G141" s="14">
        <v>-1805</v>
      </c>
      <c r="H141" s="14">
        <v>-1707</v>
      </c>
      <c r="I141" s="14">
        <v>-1663</v>
      </c>
      <c r="J141" s="14">
        <v>-1587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535</v>
      </c>
      <c r="D143" s="14">
        <v>223</v>
      </c>
      <c r="E143" s="14">
        <v>105</v>
      </c>
      <c r="F143" s="14">
        <v>102</v>
      </c>
      <c r="G143" s="14">
        <v>89</v>
      </c>
      <c r="H143" s="14">
        <v>252</v>
      </c>
      <c r="I143" s="14">
        <v>319</v>
      </c>
      <c r="J143" s="14">
        <v>288</v>
      </c>
      <c r="AA143" s="127"/>
    </row>
    <row r="144" spans="2:27" s="3" customFormat="1">
      <c r="B144" s="3" t="s">
        <v>167</v>
      </c>
      <c r="C144" s="14">
        <v>2537</v>
      </c>
      <c r="D144" s="14">
        <v>2232</v>
      </c>
      <c r="E144" s="14">
        <v>2180</v>
      </c>
      <c r="F144" s="14">
        <v>2270</v>
      </c>
      <c r="G144" s="14">
        <v>2265</v>
      </c>
      <c r="H144" s="14">
        <v>2278</v>
      </c>
      <c r="I144" s="14">
        <v>2345</v>
      </c>
      <c r="J144" s="14">
        <v>2352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53</v>
      </c>
      <c r="D145" s="14">
        <v>51</v>
      </c>
      <c r="E145" s="14">
        <v>51</v>
      </c>
      <c r="F145" s="14">
        <v>59</v>
      </c>
      <c r="G145" s="14">
        <v>63</v>
      </c>
      <c r="H145" s="14">
        <v>69</v>
      </c>
      <c r="I145" s="14">
        <v>58</v>
      </c>
      <c r="J145" s="14">
        <v>36</v>
      </c>
      <c r="AA145" s="127"/>
    </row>
    <row r="146" spans="2:27" s="3" customFormat="1">
      <c r="B146" s="3" t="s">
        <v>169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90</v>
      </c>
      <c r="D147" s="14">
        <v>81</v>
      </c>
      <c r="E147" s="14">
        <v>106</v>
      </c>
      <c r="F147" s="14">
        <v>95</v>
      </c>
      <c r="G147" s="14">
        <v>86</v>
      </c>
      <c r="H147" s="14">
        <v>86</v>
      </c>
      <c r="I147" s="14">
        <v>92</v>
      </c>
      <c r="J147" s="14">
        <v>85</v>
      </c>
      <c r="AA147" s="127"/>
    </row>
    <row r="148" spans="2:27" s="3" customFormat="1">
      <c r="B148" s="3" t="s">
        <v>171</v>
      </c>
      <c r="C148" s="14">
        <v>143</v>
      </c>
      <c r="D148" s="14">
        <v>133</v>
      </c>
      <c r="E148" s="14">
        <v>157</v>
      </c>
      <c r="F148" s="14">
        <v>154</v>
      </c>
      <c r="G148" s="14">
        <v>149</v>
      </c>
      <c r="H148" s="14">
        <v>155</v>
      </c>
      <c r="I148" s="14">
        <v>150</v>
      </c>
      <c r="J148" s="14">
        <v>121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8803</v>
      </c>
      <c r="D149" s="14">
        <v>8413</v>
      </c>
      <c r="E149" s="14">
        <v>7987</v>
      </c>
      <c r="F149" s="14">
        <v>7910</v>
      </c>
      <c r="G149" s="14">
        <v>7394</v>
      </c>
      <c r="H149" s="14">
        <v>7301</v>
      </c>
      <c r="I149" s="14">
        <v>7304</v>
      </c>
      <c r="J149" s="14">
        <v>7035</v>
      </c>
      <c r="AA149" s="127"/>
    </row>
    <row r="150" spans="2:27" s="3" customFormat="1">
      <c r="B150" s="3" t="s">
        <v>193</v>
      </c>
      <c r="C150" s="14">
        <v>824</v>
      </c>
      <c r="D150" s="14">
        <v>679</v>
      </c>
      <c r="E150" s="14">
        <v>563</v>
      </c>
      <c r="F150" s="14">
        <v>427</v>
      </c>
      <c r="G150" s="14">
        <v>453</v>
      </c>
      <c r="H150" s="14">
        <v>553</v>
      </c>
      <c r="I150" s="14">
        <v>442</v>
      </c>
      <c r="J150" s="14">
        <v>313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1422</v>
      </c>
      <c r="D152" s="14">
        <v>1425</v>
      </c>
      <c r="E152" s="14">
        <v>1284</v>
      </c>
      <c r="F152" s="14">
        <v>1397</v>
      </c>
      <c r="G152" s="14">
        <v>1204</v>
      </c>
      <c r="H152" s="14">
        <v>1174</v>
      </c>
      <c r="I152" s="14">
        <v>1214</v>
      </c>
      <c r="J152" s="14">
        <v>1032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27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325</v>
      </c>
      <c r="D155" s="14">
        <v>513</v>
      </c>
      <c r="E155" s="14">
        <v>227</v>
      </c>
      <c r="F155" s="14">
        <v>256</v>
      </c>
      <c r="G155" s="14">
        <v>266</v>
      </c>
      <c r="H155" s="14">
        <v>344</v>
      </c>
      <c r="I155" s="14">
        <v>247</v>
      </c>
      <c r="J155" s="14">
        <v>330</v>
      </c>
      <c r="AA155" s="127"/>
    </row>
    <row r="156" spans="2:27" s="3" customFormat="1">
      <c r="B156" s="3" t="s">
        <v>175</v>
      </c>
      <c r="C156" s="14">
        <v>42</v>
      </c>
      <c r="D156" s="14">
        <v>36</v>
      </c>
      <c r="E156" s="14">
        <v>35</v>
      </c>
      <c r="F156" s="14">
        <v>43</v>
      </c>
      <c r="G156" s="14">
        <v>25</v>
      </c>
      <c r="H156" s="14">
        <v>25</v>
      </c>
      <c r="I156" s="14">
        <v>31</v>
      </c>
      <c r="J156" s="14">
        <v>24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17</v>
      </c>
      <c r="J157" s="14">
        <v>17</v>
      </c>
      <c r="AA157" s="127"/>
    </row>
    <row r="158" spans="2:27" s="3" customFormat="1">
      <c r="B158" s="3" t="s">
        <v>177</v>
      </c>
      <c r="C158" s="14">
        <v>34</v>
      </c>
      <c r="D158" s="14">
        <v>55</v>
      </c>
      <c r="E158" s="14">
        <v>29</v>
      </c>
      <c r="F158" s="14">
        <v>34</v>
      </c>
      <c r="G158" s="14">
        <v>28</v>
      </c>
      <c r="H158" s="14">
        <v>33</v>
      </c>
      <c r="I158" s="14">
        <v>30</v>
      </c>
      <c r="J158" s="14">
        <v>34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2647</v>
      </c>
      <c r="D159" s="14">
        <v>2707</v>
      </c>
      <c r="E159" s="14">
        <v>2138</v>
      </c>
      <c r="F159" s="14">
        <v>2158</v>
      </c>
      <c r="G159" s="14">
        <v>1976</v>
      </c>
      <c r="H159" s="14">
        <v>2129</v>
      </c>
      <c r="I159" s="14">
        <v>1980</v>
      </c>
      <c r="J159" s="14">
        <v>1751</v>
      </c>
      <c r="AA159" s="127"/>
    </row>
    <row r="160" spans="2:27" s="3" customFormat="1">
      <c r="B160" s="3" t="s">
        <v>179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58</v>
      </c>
      <c r="J160" s="14">
        <v>62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1</v>
      </c>
      <c r="D163" s="14">
        <v>1</v>
      </c>
      <c r="E163" s="14">
        <v>1</v>
      </c>
      <c r="F163" s="14">
        <v>1</v>
      </c>
      <c r="G163" s="14">
        <v>1</v>
      </c>
      <c r="H163" s="14">
        <v>1</v>
      </c>
      <c r="I163" s="14">
        <v>1</v>
      </c>
      <c r="J163" s="14">
        <v>2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5</v>
      </c>
      <c r="D165" s="14">
        <v>4</v>
      </c>
      <c r="E165" s="14">
        <v>4</v>
      </c>
      <c r="F165" s="14">
        <v>4</v>
      </c>
      <c r="G165" s="14">
        <v>5</v>
      </c>
      <c r="H165" s="14">
        <v>5</v>
      </c>
      <c r="I165" s="14">
        <v>4</v>
      </c>
      <c r="J165" s="14">
        <v>4</v>
      </c>
      <c r="AA165" s="127"/>
    </row>
    <row r="166" spans="2:27" s="3" customFormat="1">
      <c r="B166" s="3" t="s">
        <v>185</v>
      </c>
      <c r="C166" s="14">
        <v>104</v>
      </c>
      <c r="D166" s="14">
        <v>102</v>
      </c>
      <c r="E166" s="14">
        <v>105</v>
      </c>
      <c r="F166" s="14">
        <v>108</v>
      </c>
      <c r="G166" s="14">
        <v>105</v>
      </c>
      <c r="H166" s="14">
        <v>104</v>
      </c>
      <c r="I166" s="14">
        <v>107</v>
      </c>
      <c r="J166" s="14">
        <v>107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109</v>
      </c>
      <c r="D167" s="14">
        <v>108</v>
      </c>
      <c r="E167" s="14">
        <v>110</v>
      </c>
      <c r="F167" s="14">
        <v>112</v>
      </c>
      <c r="G167" s="14">
        <v>111</v>
      </c>
      <c r="H167" s="14">
        <v>109</v>
      </c>
      <c r="I167" s="14">
        <v>112</v>
      </c>
      <c r="J167" s="14">
        <v>113</v>
      </c>
      <c r="AA167" s="127"/>
    </row>
    <row r="168" spans="2:27" s="3" customFormat="1">
      <c r="B168" s="3" t="s">
        <v>17</v>
      </c>
      <c r="C168" s="14">
        <v>2756</v>
      </c>
      <c r="D168" s="14">
        <v>2815</v>
      </c>
      <c r="E168" s="14">
        <v>2248</v>
      </c>
      <c r="F168" s="14">
        <v>2270</v>
      </c>
      <c r="G168" s="14">
        <v>2087</v>
      </c>
      <c r="H168" s="14">
        <v>2238</v>
      </c>
      <c r="I168" s="14">
        <v>2150</v>
      </c>
      <c r="J168" s="14">
        <v>1926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6047</v>
      </c>
      <c r="D169" s="14">
        <v>5598</v>
      </c>
      <c r="E169" s="14">
        <v>5739</v>
      </c>
      <c r="F169" s="14">
        <v>5640</v>
      </c>
      <c r="G169" s="14">
        <v>5306</v>
      </c>
      <c r="H169" s="14">
        <v>5063</v>
      </c>
      <c r="I169" s="14">
        <v>5153</v>
      </c>
      <c r="J169" s="14">
        <v>5109</v>
      </c>
      <c r="AA169" s="127"/>
    </row>
    <row r="170" spans="2:27" s="3" customFormat="1">
      <c r="B170" s="3" t="s">
        <v>195</v>
      </c>
      <c r="C170" s="14">
        <v>1397</v>
      </c>
      <c r="D170" s="14">
        <v>1396</v>
      </c>
      <c r="E170" s="14">
        <v>1396</v>
      </c>
      <c r="F170" s="14">
        <v>1394</v>
      </c>
      <c r="G170" s="14">
        <v>1388</v>
      </c>
      <c r="H170" s="14">
        <v>1387</v>
      </c>
      <c r="I170" s="14">
        <v>1387</v>
      </c>
      <c r="J170" s="14">
        <v>1387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2535</v>
      </c>
      <c r="D172" s="14">
        <v>2534</v>
      </c>
      <c r="E172" s="14">
        <v>2533</v>
      </c>
      <c r="F172" s="14">
        <v>2531</v>
      </c>
      <c r="G172" s="14">
        <v>2519</v>
      </c>
      <c r="H172" s="14">
        <v>2518</v>
      </c>
      <c r="I172" s="14">
        <v>2517</v>
      </c>
      <c r="J172" s="14">
        <v>2516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0</v>
      </c>
      <c r="D173" s="14">
        <v>0</v>
      </c>
      <c r="E173" s="14">
        <v>0</v>
      </c>
      <c r="F173" s="14">
        <v>0</v>
      </c>
      <c r="G173" s="14">
        <v>0</v>
      </c>
      <c r="H173" s="14">
        <v>0</v>
      </c>
      <c r="I173" s="14">
        <v>0</v>
      </c>
      <c r="J173" s="14">
        <v>0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2029</v>
      </c>
      <c r="D175" s="14">
        <v>1708</v>
      </c>
      <c r="E175" s="14">
        <v>1811</v>
      </c>
      <c r="F175" s="14">
        <v>1667</v>
      </c>
      <c r="G175" s="14">
        <v>1510</v>
      </c>
      <c r="H175" s="14">
        <v>1331</v>
      </c>
      <c r="I175" s="14">
        <v>1355</v>
      </c>
      <c r="J175" s="14">
        <v>1215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8803</v>
      </c>
      <c r="D178" s="14">
        <v>8413</v>
      </c>
      <c r="E178" s="14">
        <v>7987</v>
      </c>
      <c r="F178" s="14">
        <v>7910</v>
      </c>
      <c r="G178" s="14">
        <v>7394</v>
      </c>
      <c r="H178" s="14">
        <v>7301</v>
      </c>
      <c r="I178" s="14">
        <v>7304</v>
      </c>
      <c r="J178" s="14">
        <v>7035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321</v>
      </c>
      <c r="D224" s="14">
        <v>156</v>
      </c>
      <c r="E224" s="14">
        <v>143</v>
      </c>
      <c r="F224" s="14">
        <v>158</v>
      </c>
      <c r="G224" s="14">
        <v>179</v>
      </c>
      <c r="H224" s="14">
        <v>105</v>
      </c>
      <c r="I224" s="14">
        <v>140</v>
      </c>
      <c r="J224" s="14">
        <v>56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82</v>
      </c>
      <c r="D226" s="14">
        <v>79</v>
      </c>
      <c r="E226" s="14">
        <v>81</v>
      </c>
      <c r="F226" s="14">
        <v>83</v>
      </c>
      <c r="G226" s="14">
        <v>76</v>
      </c>
      <c r="H226" s="14">
        <v>75</v>
      </c>
      <c r="I226" s="14">
        <v>83</v>
      </c>
      <c r="J226" s="14">
        <v>75</v>
      </c>
      <c r="AA226" s="62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P227" s="137"/>
      <c r="W227" s="14"/>
      <c r="AA227" s="62"/>
    </row>
    <row r="228" spans="2:27" s="3" customFormat="1">
      <c r="B228" s="3" t="s">
        <v>116</v>
      </c>
      <c r="C228" s="14">
        <v>-5</v>
      </c>
      <c r="D228" s="14">
        <v>-1</v>
      </c>
      <c r="E228" s="14">
        <v>-3</v>
      </c>
      <c r="F228" s="14">
        <v>-2</v>
      </c>
      <c r="G228" s="14">
        <v>-7</v>
      </c>
      <c r="H228" s="14">
        <v>-2</v>
      </c>
      <c r="I228" s="14">
        <v>-4</v>
      </c>
      <c r="J228" s="14">
        <v>-2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-3</v>
      </c>
      <c r="J232" s="14">
        <v>-1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-145</v>
      </c>
      <c r="D235" s="14">
        <v>-215</v>
      </c>
      <c r="E235" s="14">
        <v>122</v>
      </c>
      <c r="F235" s="14">
        <v>-138</v>
      </c>
      <c r="G235" s="14">
        <v>-173</v>
      </c>
      <c r="H235" s="14">
        <v>-31</v>
      </c>
      <c r="I235" s="14">
        <v>-111</v>
      </c>
      <c r="J235" s="14">
        <v>-4</v>
      </c>
      <c r="P235" s="67"/>
      <c r="W235" s="46"/>
    </row>
    <row r="236" spans="2:27">
      <c r="B236" s="3" t="s">
        <v>124</v>
      </c>
      <c r="C236" s="14">
        <v>134</v>
      </c>
      <c r="D236" s="14">
        <v>-26</v>
      </c>
      <c r="E236" s="14">
        <v>-11</v>
      </c>
      <c r="F236" s="14">
        <v>18</v>
      </c>
      <c r="G236" s="14">
        <v>-20</v>
      </c>
      <c r="H236" s="14">
        <v>73</v>
      </c>
      <c r="I236" s="14">
        <v>-54</v>
      </c>
      <c r="J236" s="14">
        <v>33</v>
      </c>
    </row>
    <row r="237" spans="2:27">
      <c r="B237" s="3" t="s">
        <v>125</v>
      </c>
      <c r="C237" s="14">
        <v>-3</v>
      </c>
      <c r="D237" s="14">
        <v>141</v>
      </c>
      <c r="E237" s="14">
        <v>-113</v>
      </c>
      <c r="F237" s="14">
        <v>193</v>
      </c>
      <c r="G237" s="14">
        <v>30</v>
      </c>
      <c r="H237" s="14">
        <v>-40</v>
      </c>
      <c r="I237" s="14">
        <v>181</v>
      </c>
      <c r="J237" s="14">
        <v>-54</v>
      </c>
      <c r="P237" s="67"/>
      <c r="W237" s="46"/>
    </row>
    <row r="238" spans="2:27">
      <c r="B238" s="3" t="s">
        <v>126</v>
      </c>
      <c r="C238" s="14">
        <v>196</v>
      </c>
      <c r="D238" s="14">
        <v>9</v>
      </c>
      <c r="E238" s="14">
        <v>-93</v>
      </c>
      <c r="F238" s="14">
        <v>-96</v>
      </c>
      <c r="G238" s="14">
        <v>153</v>
      </c>
      <c r="H238" s="14">
        <v>-4</v>
      </c>
      <c r="I238" s="14">
        <v>-54</v>
      </c>
      <c r="J238" s="14">
        <v>9</v>
      </c>
    </row>
    <row r="239" spans="2:27">
      <c r="B239" s="3" t="s">
        <v>19</v>
      </c>
      <c r="C239" s="14">
        <v>580</v>
      </c>
      <c r="D239" s="14">
        <v>144</v>
      </c>
      <c r="E239" s="14">
        <v>128</v>
      </c>
      <c r="F239" s="14">
        <v>217</v>
      </c>
      <c r="G239" s="14">
        <v>239</v>
      </c>
      <c r="H239" s="14">
        <v>176</v>
      </c>
      <c r="I239" s="14">
        <v>179</v>
      </c>
      <c r="J239" s="14">
        <v>106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11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1</v>
      </c>
      <c r="I243" s="14">
        <v>6</v>
      </c>
      <c r="J243" s="14">
        <v>1</v>
      </c>
      <c r="P243" s="67"/>
      <c r="W243" s="46"/>
    </row>
    <row r="244" spans="2:23">
      <c r="B244" s="3" t="s">
        <v>20</v>
      </c>
      <c r="C244" s="14">
        <v>-351</v>
      </c>
      <c r="D244" s="14">
        <v>-113</v>
      </c>
      <c r="E244" s="14">
        <v>-29</v>
      </c>
      <c r="F244" s="14">
        <v>-23</v>
      </c>
      <c r="G244" s="14">
        <v>-33</v>
      </c>
      <c r="H244" s="14">
        <v>-40</v>
      </c>
      <c r="I244" s="14">
        <v>-51</v>
      </c>
      <c r="J244" s="14">
        <v>-120</v>
      </c>
    </row>
    <row r="245" spans="2:23">
      <c r="B245" s="3" t="s">
        <v>130</v>
      </c>
      <c r="C245" s="14">
        <v>-6</v>
      </c>
      <c r="D245" s="14">
        <v>0</v>
      </c>
      <c r="E245" s="14">
        <v>9</v>
      </c>
      <c r="F245" s="14">
        <v>6</v>
      </c>
      <c r="G245" s="14">
        <v>-6</v>
      </c>
      <c r="H245" s="14">
        <v>-2</v>
      </c>
      <c r="I245" s="14">
        <v>-8</v>
      </c>
      <c r="J245" s="14">
        <v>10</v>
      </c>
      <c r="P245" s="67"/>
      <c r="W245" s="46"/>
    </row>
    <row r="246" spans="2:23">
      <c r="B246" s="3" t="s">
        <v>131</v>
      </c>
      <c r="C246" s="14">
        <v>-357</v>
      </c>
      <c r="D246" s="14">
        <v>-113</v>
      </c>
      <c r="E246" s="14">
        <v>-20</v>
      </c>
      <c r="F246" s="14">
        <v>-17</v>
      </c>
      <c r="G246" s="14">
        <v>-39</v>
      </c>
      <c r="H246" s="14">
        <v>-41</v>
      </c>
      <c r="I246" s="14">
        <v>-54</v>
      </c>
      <c r="J246" s="14">
        <v>-99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-259</v>
      </c>
      <c r="D248" s="14">
        <v>0</v>
      </c>
      <c r="E248" s="14">
        <v>0</v>
      </c>
      <c r="F248" s="14">
        <v>0</v>
      </c>
      <c r="G248" s="14">
        <v>-129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146</v>
      </c>
      <c r="D250" s="14">
        <v>116</v>
      </c>
      <c r="E250" s="14">
        <v>136</v>
      </c>
      <c r="F250" s="14">
        <v>-26</v>
      </c>
      <c r="G250" s="14">
        <v>-99</v>
      </c>
      <c r="H250" s="14">
        <v>111</v>
      </c>
      <c r="I250" s="14">
        <v>129</v>
      </c>
      <c r="J250" s="14">
        <v>-317</v>
      </c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-75</v>
      </c>
      <c r="I251" s="14">
        <v>-4</v>
      </c>
      <c r="J251" s="14">
        <v>-4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-213</v>
      </c>
      <c r="J254" s="14">
        <v>-117</v>
      </c>
    </row>
    <row r="255" spans="2:23">
      <c r="B255" s="3" t="s">
        <v>140</v>
      </c>
      <c r="C255" s="14">
        <v>-40</v>
      </c>
      <c r="D255" s="14">
        <v>8</v>
      </c>
      <c r="E255" s="14">
        <v>6</v>
      </c>
      <c r="F255" s="14">
        <v>-18</v>
      </c>
      <c r="G255" s="14">
        <v>-12</v>
      </c>
      <c r="H255" s="14">
        <v>12</v>
      </c>
      <c r="I255" s="14">
        <v>-5</v>
      </c>
      <c r="J255" s="14">
        <v>-2</v>
      </c>
      <c r="P255" s="67"/>
      <c r="W255" s="46"/>
    </row>
    <row r="256" spans="2:23">
      <c r="B256" s="3" t="s">
        <v>141</v>
      </c>
      <c r="C256" s="14">
        <v>-152</v>
      </c>
      <c r="D256" s="14">
        <v>123</v>
      </c>
      <c r="E256" s="14">
        <v>146</v>
      </c>
      <c r="F256" s="14">
        <v>-27</v>
      </c>
      <c r="G256" s="14">
        <v>-239</v>
      </c>
      <c r="H256" s="14">
        <v>48</v>
      </c>
      <c r="I256" s="14">
        <v>-93</v>
      </c>
      <c r="J256" s="14">
        <v>-441</v>
      </c>
    </row>
    <row r="257" spans="2:23">
      <c r="B257" s="3" t="s">
        <v>142</v>
      </c>
      <c r="C257" s="14">
        <v>143</v>
      </c>
      <c r="D257" s="14">
        <v>-36</v>
      </c>
      <c r="E257" s="14">
        <v>-36</v>
      </c>
      <c r="F257" s="14">
        <v>103</v>
      </c>
      <c r="G257" s="14">
        <v>58</v>
      </c>
      <c r="H257" s="14">
        <v>-60</v>
      </c>
      <c r="I257" s="14">
        <v>31</v>
      </c>
      <c r="J257" s="14">
        <v>30</v>
      </c>
      <c r="P257" s="67"/>
      <c r="W257" s="46"/>
    </row>
    <row r="258" spans="2:23">
      <c r="B258" s="3" t="s">
        <v>143</v>
      </c>
      <c r="C258" s="14">
        <v>215</v>
      </c>
      <c r="D258" s="14">
        <v>118</v>
      </c>
      <c r="E258" s="14">
        <v>217</v>
      </c>
      <c r="F258" s="14">
        <v>275</v>
      </c>
      <c r="G258" s="14">
        <v>19</v>
      </c>
      <c r="H258" s="14">
        <v>124</v>
      </c>
      <c r="I258" s="14">
        <v>63</v>
      </c>
      <c r="J258" s="14">
        <v>-404</v>
      </c>
    </row>
    <row r="259" spans="2:23">
      <c r="B259" s="3" t="s">
        <v>144</v>
      </c>
      <c r="C259" s="14">
        <v>2322</v>
      </c>
      <c r="D259" s="14">
        <v>2203</v>
      </c>
      <c r="E259" s="14">
        <v>1986</v>
      </c>
      <c r="F259" s="14">
        <v>1711</v>
      </c>
      <c r="G259" s="14">
        <v>1693</v>
      </c>
      <c r="H259" s="14">
        <v>1569</v>
      </c>
      <c r="I259" s="14">
        <v>1506</v>
      </c>
      <c r="J259" s="14">
        <v>1909</v>
      </c>
      <c r="P259" s="67"/>
      <c r="W259" s="46"/>
    </row>
    <row r="260" spans="2:23">
      <c r="B260" s="3" t="s">
        <v>145</v>
      </c>
      <c r="C260" s="14">
        <v>2537</v>
      </c>
      <c r="D260" s="14">
        <v>2322</v>
      </c>
      <c r="E260" s="14">
        <v>2203</v>
      </c>
      <c r="F260" s="14">
        <v>1986</v>
      </c>
      <c r="G260" s="14">
        <v>1711</v>
      </c>
      <c r="H260" s="14">
        <v>1693</v>
      </c>
      <c r="I260" s="14">
        <v>1569</v>
      </c>
      <c r="J260" s="14">
        <v>1506</v>
      </c>
    </row>
    <row r="261" spans="2:23">
      <c r="B261" s="3" t="s">
        <v>146</v>
      </c>
      <c r="C261" s="14">
        <v>3</v>
      </c>
      <c r="D261" s="14">
        <v>2</v>
      </c>
      <c r="E261" s="14">
        <v>1</v>
      </c>
      <c r="F261" s="14">
        <v>2</v>
      </c>
      <c r="G261" s="14">
        <v>2</v>
      </c>
      <c r="H261" s="14">
        <v>2</v>
      </c>
      <c r="I261" s="14">
        <v>1</v>
      </c>
      <c r="J261" s="14">
        <v>3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</mergeCells>
  <phoneticPr fontId="2" type="noConversion"/>
  <hyperlinks>
    <hyperlink ref="N51" r:id="rId1" display="https://tw.stock.yahoo.com/q/bc?s=4935"/>
    <hyperlink ref="N52" r:id="rId2" display="https://tw.stock.yahoo.com/pf/pfsel?stocklist=4935;"/>
    <hyperlink ref="N54" r:id="rId3" display="https://tw.stock.yahoo.com/pf/pfsel?stocklist=4935;"/>
    <hyperlink ref="Y51" r:id="rId4" display="https://tw.stock.yahoo.com/q/ts?s=4935"/>
    <hyperlink ref="Y54" r:id="rId5" display="https://tw.rd.yahoo.com/referurl/stock/other/SIG=125v47s73/**https:/tw.screener.finance.yahoo.net/screener/check.html?symid=4935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68" r:id="rId10" name="CommandButton30"/>
    <control shapeId="1066" r:id="rId11" name="CommandButton29"/>
    <control shapeId="1065" r:id="rId12" name="CommandButton28"/>
    <control shapeId="1063" r:id="rId13" name="CommandButton27"/>
    <control shapeId="1061" r:id="rId14" name="CommandButton26"/>
    <control shapeId="1055" r:id="rId15" name="CommandButton21"/>
    <control shapeId="1054" r:id="rId16" name="CommandButton20"/>
    <control shapeId="1053" r:id="rId17" name="CommandButton19"/>
    <control shapeId="1051" r:id="rId18" name="CommandButton17"/>
    <control shapeId="1050" r:id="rId19" name="CommandButton16"/>
    <control shapeId="1049" r:id="rId20" name="CommandButton15"/>
    <control shapeId="1047" r:id="rId21" name="CommandButton14"/>
    <control shapeId="1045" r:id="rId22" name="CommandButton13"/>
    <control shapeId="1044" r:id="rId23" name="CommandButton12"/>
    <control shapeId="1042" r:id="rId24" name="CommandButton11"/>
    <control shapeId="1034" r:id="rId25" name="CommandButton0"/>
    <control shapeId="1033" r:id="rId26" name="CommandButton9"/>
    <control shapeId="1032" r:id="rId27" name="CommandButton8"/>
    <control shapeId="1031" r:id="rId28" name="CommandButton7"/>
    <control shapeId="1030" r:id="rId29" name="CommandButton6"/>
    <control shapeId="1029" r:id="rId30" name="CommandButton5"/>
    <control shapeId="1028" r:id="rId31" name="CommandButton4"/>
    <control shapeId="1027" r:id="rId32" name="CommandButton2"/>
    <control shapeId="1026" r:id="rId33" name="CommandButton1"/>
    <control shapeId="1025" r:id="rId34" name="ComboBox1"/>
    <control shapeId="1040" r:id="rId35" name="CommandButton3"/>
    <control shapeId="1056" r:id="rId36" name="CommandButton10"/>
    <control shapeId="1057" r:id="rId37" name="CommandButton22"/>
    <control shapeId="1058" r:id="rId38" name="CommandButton23"/>
    <control shapeId="1059" r:id="rId39" name="CommandButton24"/>
    <control shapeId="1060" r:id="rId40" name="CommandButton25"/>
    <control shapeId="1070" r:id="rId41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274" activePane="bottomRight" state="frozen"/>
      <selection pane="topRight" activeCell="N1" sqref="N1"/>
      <selection pane="bottomLeft" activeCell="A4" sqref="A4"/>
      <selection pane="bottomRight" activeCell="I278" sqref="I278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0">
        <f ca="1">NOW()</f>
        <v>42385.933798958336</v>
      </c>
      <c r="B1" s="361"/>
      <c r="C1" s="372" t="s">
        <v>1956</v>
      </c>
      <c r="D1" s="373"/>
      <c r="E1" s="373"/>
      <c r="F1" s="373"/>
      <c r="G1" s="374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2" t="s">
        <v>38</v>
      </c>
      <c r="B2" s="363"/>
      <c r="C2" s="364" t="s">
        <v>250</v>
      </c>
      <c r="D2" s="365"/>
      <c r="E2" s="365"/>
      <c r="F2" s="365"/>
      <c r="G2" s="366"/>
      <c r="H2" s="369" t="s">
        <v>253</v>
      </c>
      <c r="I2" s="370"/>
      <c r="J2" s="370"/>
      <c r="K2" s="370"/>
      <c r="L2" s="370"/>
      <c r="M2" s="371"/>
      <c r="N2" s="257" t="s">
        <v>1901</v>
      </c>
      <c r="O2" s="367" t="s">
        <v>1924</v>
      </c>
      <c r="P2" s="367"/>
      <c r="Q2" s="367"/>
      <c r="R2" s="367"/>
      <c r="S2" s="368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 s="317" customFormat="1">
      <c r="A130" s="309" t="str">
        <f>HYPERLINK("http://www.wantgoo.com/stock/chart.aspx?stockno=3563","3563")</f>
        <v>3563</v>
      </c>
      <c r="B130" s="310"/>
      <c r="C130" s="311">
        <f>VLOOKUP(3563,季財報!A:H,3)</f>
        <v>1</v>
      </c>
      <c r="D130" s="311">
        <f>VLOOKUP(3563,季財報!A:H,4)</f>
        <v>1</v>
      </c>
      <c r="E130" s="311">
        <f>VLOOKUP(3563,季財報!A:H,5)</f>
        <v>0</v>
      </c>
      <c r="F130" s="311">
        <f>VLOOKUP(3563,季財報!A:H,6)</f>
        <v>0</v>
      </c>
      <c r="G130" s="311">
        <f>VLOOKUP(3563,季財報!A:H,7)</f>
        <v>0</v>
      </c>
      <c r="H130" s="312"/>
      <c r="I130" s="312"/>
      <c r="J130" s="312"/>
      <c r="K130" s="312"/>
      <c r="L130" s="312"/>
      <c r="M130" s="313"/>
      <c r="N130" s="312">
        <f t="shared" si="1"/>
        <v>2</v>
      </c>
      <c r="O130" s="314"/>
      <c r="P130" s="314"/>
      <c r="Q130" s="314"/>
      <c r="R130" s="314"/>
      <c r="S130" s="315"/>
    </row>
    <row r="131" spans="1:19" s="317" customFormat="1">
      <c r="A131" s="309" t="str">
        <f>HYPERLINK("http://www.wantgoo.com/stock/chart.aspx?stockno=6104","6104")</f>
        <v>6104</v>
      </c>
      <c r="B131" s="310"/>
      <c r="C131" s="311">
        <f>VLOOKUP(6104,季財報!A:H,3)</f>
        <v>0</v>
      </c>
      <c r="D131" s="311">
        <f>VLOOKUP(6104,季財報!A:H,4)</f>
        <v>1</v>
      </c>
      <c r="E131" s="311">
        <f>VLOOKUP(6104,季財報!A:H,5)</f>
        <v>0</v>
      </c>
      <c r="F131" s="311">
        <f>VLOOKUP(6104,季財報!A:H,6)</f>
        <v>1</v>
      </c>
      <c r="G131" s="311">
        <f>VLOOKUP(6104,季財報!A:H,7)</f>
        <v>0</v>
      </c>
      <c r="H131" s="312"/>
      <c r="I131" s="312"/>
      <c r="J131" s="312"/>
      <c r="K131" s="312"/>
      <c r="L131" s="312"/>
      <c r="M131" s="313"/>
      <c r="N131" s="312">
        <f t="shared" si="1"/>
        <v>2</v>
      </c>
      <c r="O131" s="314"/>
      <c r="P131" s="314"/>
      <c r="Q131" s="314"/>
      <c r="R131" s="314"/>
      <c r="S131" s="315"/>
    </row>
    <row r="132" spans="1:19" s="317" customFormat="1">
      <c r="A132" s="309" t="str">
        <f>HYPERLINK("http://www.wantgoo.com/stock/chart.aspx?stockno=3541","3541")</f>
        <v>3541</v>
      </c>
      <c r="B132" s="310"/>
      <c r="C132" s="311">
        <f>VLOOKUP(3541,季財報!A:H,3)</f>
        <v>0</v>
      </c>
      <c r="D132" s="311">
        <f>VLOOKUP(3541,季財報!A:H,4)</f>
        <v>1</v>
      </c>
      <c r="E132" s="311">
        <f>VLOOKUP(3541,季財報!A:H,5)</f>
        <v>1</v>
      </c>
      <c r="F132" s="311">
        <f>VLOOKUP(3541,季財報!A:H,6)</f>
        <v>1</v>
      </c>
      <c r="G132" s="311">
        <f>VLOOKUP(3541,季財報!A:H,7)</f>
        <v>0</v>
      </c>
      <c r="H132" s="312"/>
      <c r="I132" s="312"/>
      <c r="J132" s="312"/>
      <c r="K132" s="312"/>
      <c r="L132" s="312"/>
      <c r="M132" s="313"/>
      <c r="N132" s="312">
        <f t="shared" ref="N132:N195" si="2">SUM(C132:M132)</f>
        <v>3</v>
      </c>
      <c r="O132" s="314"/>
      <c r="P132" s="314"/>
      <c r="Q132" s="314"/>
      <c r="R132" s="314"/>
      <c r="S132" s="315"/>
    </row>
    <row r="133" spans="1:19" s="317" customFormat="1">
      <c r="A133" s="309" t="str">
        <f>HYPERLINK("http://www.wantgoo.com/stock/chart.aspx?stockno=5519","5519")</f>
        <v>5519</v>
      </c>
      <c r="B133" s="310"/>
      <c r="C133" s="311">
        <f>VLOOKUP(5519,季財報!A:H,3)</f>
        <v>0</v>
      </c>
      <c r="D133" s="311">
        <f>VLOOKUP(5519,季財報!A:H,4)</f>
        <v>1</v>
      </c>
      <c r="E133" s="311">
        <f>VLOOKUP(5519,季財報!A:H,5)</f>
        <v>0</v>
      </c>
      <c r="F133" s="311">
        <f>VLOOKUP(5519,季財報!A:H,6)</f>
        <v>1</v>
      </c>
      <c r="G133" s="311">
        <f>VLOOKUP(5519,季財報!A:H,7)</f>
        <v>0</v>
      </c>
      <c r="H133" s="312"/>
      <c r="I133" s="312"/>
      <c r="J133" s="312"/>
      <c r="K133" s="312"/>
      <c r="L133" s="312"/>
      <c r="M133" s="313"/>
      <c r="N133" s="312">
        <f t="shared" si="2"/>
        <v>2</v>
      </c>
      <c r="O133" s="314"/>
      <c r="P133" s="314"/>
      <c r="Q133" s="314"/>
      <c r="R133" s="314"/>
      <c r="S133" s="315"/>
    </row>
    <row r="134" spans="1:19" s="317" customFormat="1">
      <c r="A134" s="309" t="str">
        <f>HYPERLINK("http://www.wantgoo.com/stock/chart.aspx?stockno=3008","3008")</f>
        <v>3008</v>
      </c>
      <c r="B134" s="310"/>
      <c r="C134" s="311">
        <f>VLOOKUP(3008,季財報!A:H,3)</f>
        <v>1</v>
      </c>
      <c r="D134" s="311">
        <f>VLOOKUP(3008,季財報!A:H,4)</f>
        <v>1</v>
      </c>
      <c r="E134" s="311">
        <f>VLOOKUP(3008,季財報!A:H,5)</f>
        <v>0</v>
      </c>
      <c r="F134" s="311">
        <f>VLOOKUP(3008,季財報!A:H,6)</f>
        <v>1</v>
      </c>
      <c r="G134" s="311">
        <f>VLOOKUP(3008,季財報!A:H,7)</f>
        <v>0</v>
      </c>
      <c r="H134" s="312"/>
      <c r="I134" s="312"/>
      <c r="J134" s="312"/>
      <c r="K134" s="312"/>
      <c r="L134" s="312"/>
      <c r="M134" s="313"/>
      <c r="N134" s="312">
        <f t="shared" si="2"/>
        <v>3</v>
      </c>
      <c r="O134" s="314"/>
      <c r="P134" s="314"/>
      <c r="Q134" s="314"/>
      <c r="R134" s="314"/>
      <c r="S134" s="315"/>
    </row>
    <row r="135" spans="1:19" s="317" customFormat="1">
      <c r="A135" s="309" t="str">
        <f>HYPERLINK("http://www.wantgoo.com/stock/chart.aspx?stockno=5215","5215")</f>
        <v>5215</v>
      </c>
      <c r="B135" s="310"/>
      <c r="C135" s="311">
        <f>VLOOKUP(5215,季財報!A:H,3)</f>
        <v>0</v>
      </c>
      <c r="D135" s="311">
        <f>VLOOKUP(5215,季財報!A:H,4)</f>
        <v>1</v>
      </c>
      <c r="E135" s="311">
        <f>VLOOKUP(5215,季財報!A:H,5)</f>
        <v>2</v>
      </c>
      <c r="F135" s="311">
        <f>VLOOKUP(5215,季財報!A:H,6)</f>
        <v>1</v>
      </c>
      <c r="G135" s="311">
        <f>VLOOKUP(5215,季財報!A:H,7)</f>
        <v>0</v>
      </c>
      <c r="H135" s="312"/>
      <c r="I135" s="312"/>
      <c r="J135" s="312"/>
      <c r="K135" s="312"/>
      <c r="L135" s="312"/>
      <c r="M135" s="313"/>
      <c r="N135" s="312">
        <f t="shared" si="2"/>
        <v>4</v>
      </c>
      <c r="O135" s="314"/>
      <c r="P135" s="314"/>
      <c r="Q135" s="314"/>
      <c r="R135" s="314"/>
      <c r="S135" s="315"/>
    </row>
    <row r="136" spans="1:19" s="317" customFormat="1">
      <c r="A136" s="309" t="str">
        <f>HYPERLINK("http://www.wantgoo.com/stock/chart.aspx?stockno=6143","6143")</f>
        <v>6143</v>
      </c>
      <c r="B136" s="310"/>
      <c r="C136" s="311">
        <f>VLOOKUP(6143,季財報!A:H,3)</f>
        <v>1</v>
      </c>
      <c r="D136" s="311">
        <f>VLOOKUP(6143,季財報!A:H,4)</f>
        <v>1</v>
      </c>
      <c r="E136" s="311">
        <f>VLOOKUP(6143,季財報!A:H,5)</f>
        <v>2</v>
      </c>
      <c r="F136" s="311">
        <f>VLOOKUP(6143,季財報!A:H,6)</f>
        <v>1</v>
      </c>
      <c r="G136" s="311">
        <f>VLOOKUP(6143,季財報!A:H,7)</f>
        <v>0</v>
      </c>
      <c r="H136" s="312"/>
      <c r="I136" s="312"/>
      <c r="J136" s="312"/>
      <c r="K136" s="312"/>
      <c r="L136" s="312"/>
      <c r="M136" s="313"/>
      <c r="N136" s="312">
        <f t="shared" si="2"/>
        <v>5</v>
      </c>
      <c r="O136" s="314"/>
      <c r="P136" s="314"/>
      <c r="Q136" s="314"/>
      <c r="R136" s="314"/>
      <c r="S136" s="315"/>
    </row>
    <row r="137" spans="1:19" s="317" customFormat="1">
      <c r="A137" s="309" t="str">
        <f>HYPERLINK("http://www.wantgoo.com/stock/chart.aspx?stockno=2904","2904")</f>
        <v>2904</v>
      </c>
      <c r="B137" s="310"/>
      <c r="C137" s="311">
        <f>VLOOKUP(2904,季財報!A:H,3)</f>
        <v>0</v>
      </c>
      <c r="D137" s="311">
        <f>VLOOKUP(2904,季財報!A:H,4)</f>
        <v>1</v>
      </c>
      <c r="E137" s="311">
        <f>VLOOKUP(2904,季財報!A:H,5)</f>
        <v>1</v>
      </c>
      <c r="F137" s="311">
        <f>VLOOKUP(2904,季財報!A:H,6)</f>
        <v>1</v>
      </c>
      <c r="G137" s="311">
        <f>VLOOKUP(2904,季財報!A:H,7)</f>
        <v>0</v>
      </c>
      <c r="H137" s="312"/>
      <c r="I137" s="312"/>
      <c r="J137" s="312"/>
      <c r="K137" s="312"/>
      <c r="L137" s="312"/>
      <c r="M137" s="313"/>
      <c r="N137" s="312">
        <f t="shared" si="2"/>
        <v>3</v>
      </c>
      <c r="O137" s="314"/>
      <c r="P137" s="314"/>
      <c r="Q137" s="314"/>
      <c r="R137" s="314"/>
      <c r="S137" s="315"/>
    </row>
    <row r="138" spans="1:19" s="317" customFormat="1">
      <c r="A138" s="309" t="str">
        <f>HYPERLINK("http://www.wantgoo.com/stock/chart.aspx?stockno=1708","1708")</f>
        <v>1708</v>
      </c>
      <c r="B138" s="310"/>
      <c r="C138" s="311">
        <f>VLOOKUP(1708,季財報!A:H,3)</f>
        <v>1</v>
      </c>
      <c r="D138" s="311">
        <f>VLOOKUP(1708,季財報!A:H,4)</f>
        <v>1</v>
      </c>
      <c r="E138" s="311">
        <f>VLOOKUP(1708,季財報!A:H,5)</f>
        <v>1</v>
      </c>
      <c r="F138" s="311">
        <f>VLOOKUP(1708,季財報!A:H,6)</f>
        <v>1</v>
      </c>
      <c r="G138" s="311">
        <f>VLOOKUP(1708,季財報!A:H,7)</f>
        <v>0</v>
      </c>
      <c r="H138" s="312"/>
      <c r="I138" s="312"/>
      <c r="J138" s="312"/>
      <c r="K138" s="312"/>
      <c r="L138" s="312"/>
      <c r="M138" s="313"/>
      <c r="N138" s="312">
        <f t="shared" si="2"/>
        <v>4</v>
      </c>
      <c r="O138" s="314"/>
      <c r="P138" s="314"/>
      <c r="Q138" s="314"/>
      <c r="R138" s="314"/>
      <c r="S138" s="315"/>
    </row>
    <row r="139" spans="1:19" s="317" customFormat="1">
      <c r="A139" s="309" t="str">
        <f>HYPERLINK("http://www.wantgoo.com/stock/chart.aspx?stockno=6451","6451")</f>
        <v>6451</v>
      </c>
      <c r="B139" s="310"/>
      <c r="C139" s="311">
        <f>VLOOKUP(6451,季財報!A:H,3)</f>
        <v>0</v>
      </c>
      <c r="D139" s="311">
        <f>VLOOKUP(6451,季財報!A:H,4)</f>
        <v>1</v>
      </c>
      <c r="E139" s="311">
        <f>VLOOKUP(6451,季財報!A:H,5)</f>
        <v>0</v>
      </c>
      <c r="F139" s="311">
        <f>VLOOKUP(6451,季財報!A:H,6)</f>
        <v>0</v>
      </c>
      <c r="G139" s="311">
        <f>VLOOKUP(6451,季財報!A:H,7)</f>
        <v>0</v>
      </c>
      <c r="H139" s="312"/>
      <c r="I139" s="312"/>
      <c r="J139" s="312"/>
      <c r="K139" s="312"/>
      <c r="L139" s="312"/>
      <c r="M139" s="313"/>
      <c r="N139" s="312">
        <f t="shared" si="2"/>
        <v>1</v>
      </c>
      <c r="O139" s="314"/>
      <c r="P139" s="314"/>
      <c r="Q139" s="314"/>
      <c r="R139" s="314"/>
      <c r="S139" s="315"/>
    </row>
    <row r="140" spans="1:19" s="317" customFormat="1">
      <c r="A140" s="309" t="str">
        <f>HYPERLINK("http://www.wantgoo.com/stock/chart.aspx?stockno=2497","2497")</f>
        <v>2497</v>
      </c>
      <c r="B140" s="310"/>
      <c r="C140" s="311">
        <f>VLOOKUP(2497,季財報!A:H,3)</f>
        <v>0</v>
      </c>
      <c r="D140" s="311">
        <f>VLOOKUP(2497,季財報!A:H,4)</f>
        <v>1</v>
      </c>
      <c r="E140" s="311">
        <f>VLOOKUP(2497,季財報!A:H,5)</f>
        <v>0</v>
      </c>
      <c r="F140" s="311">
        <f>VLOOKUP(2497,季財報!A:H,6)</f>
        <v>0</v>
      </c>
      <c r="G140" s="311">
        <f>VLOOKUP(2497,季財報!A:H,7)</f>
        <v>0</v>
      </c>
      <c r="H140" s="312"/>
      <c r="I140" s="312"/>
      <c r="J140" s="312"/>
      <c r="K140" s="312"/>
      <c r="L140" s="312"/>
      <c r="M140" s="313"/>
      <c r="N140" s="312">
        <f t="shared" si="2"/>
        <v>1</v>
      </c>
      <c r="O140" s="314"/>
      <c r="P140" s="314"/>
      <c r="Q140" s="314"/>
      <c r="R140" s="314"/>
      <c r="S140" s="315"/>
    </row>
    <row r="141" spans="1:19" s="317" customFormat="1">
      <c r="A141" s="309" t="str">
        <f>HYPERLINK("http://www.wantgoo.com/stock/chart.aspx?stockno=5264","5264")</f>
        <v>5264</v>
      </c>
      <c r="B141" s="310"/>
      <c r="C141" s="311">
        <f>VLOOKUP(5264,季財報!A:H,3)</f>
        <v>1</v>
      </c>
      <c r="D141" s="311">
        <f>VLOOKUP(5264,季財報!A:H,4)</f>
        <v>1</v>
      </c>
      <c r="E141" s="311">
        <f>VLOOKUP(5264,季財報!A:H,5)</f>
        <v>0</v>
      </c>
      <c r="F141" s="311">
        <f>VLOOKUP(5264,季財報!A:H,6)</f>
        <v>1</v>
      </c>
      <c r="G141" s="311">
        <f>VLOOKUP(5264,季財報!A:H,7)</f>
        <v>0</v>
      </c>
      <c r="H141" s="312"/>
      <c r="I141" s="312"/>
      <c r="J141" s="312"/>
      <c r="K141" s="312"/>
      <c r="L141" s="312"/>
      <c r="M141" s="313"/>
      <c r="N141" s="312">
        <f t="shared" si="2"/>
        <v>3</v>
      </c>
      <c r="O141" s="314"/>
      <c r="P141" s="314"/>
      <c r="Q141" s="314"/>
      <c r="R141" s="314"/>
      <c r="S141" s="315"/>
    </row>
    <row r="142" spans="1:19">
      <c r="A142" s="307" t="str">
        <f>HYPERLINK("http://www.wantgoo.com/stock/chart.aspx?stockno=3528","3528")</f>
        <v>3528</v>
      </c>
      <c r="C142" s="18">
        <f>VLOOKUP(3528,季財報!A:H,3)</f>
        <v>0</v>
      </c>
      <c r="D142" s="18">
        <f>VLOOKUP(3528,季財報!A:H,4)</f>
        <v>1</v>
      </c>
      <c r="E142" s="18">
        <f>VLOOKUP(3528,季財報!A:H,5)</f>
        <v>0</v>
      </c>
      <c r="F142" s="18">
        <f>VLOOKUP(3528,季財報!A:H,6)</f>
        <v>0</v>
      </c>
      <c r="G142" s="18">
        <f>VLOOKUP(3528,季財報!A:H,7)</f>
        <v>0</v>
      </c>
      <c r="N142" s="20">
        <f t="shared" si="2"/>
        <v>1</v>
      </c>
    </row>
    <row r="143" spans="1:19">
      <c r="A143" s="307" t="str">
        <f>HYPERLINK("http://www.wantgoo.com/stock/chart.aspx?stockno=3450","3450")</f>
        <v>3450</v>
      </c>
      <c r="C143" s="18">
        <f>VLOOKUP(3450,季財報!A:H,3)</f>
        <v>1</v>
      </c>
      <c r="D143" s="18">
        <f>VLOOKUP(3450,季財報!A:H,4)</f>
        <v>1</v>
      </c>
      <c r="E143" s="18">
        <f>VLOOKUP(3450,季財報!A:H,5)</f>
        <v>0</v>
      </c>
      <c r="F143" s="18">
        <f>VLOOKUP(3450,季財報!A:H,6)</f>
        <v>1</v>
      </c>
      <c r="G143" s="18">
        <f>VLOOKUP(3450,季財報!A:H,7)</f>
        <v>0</v>
      </c>
      <c r="N143" s="20">
        <f t="shared" si="2"/>
        <v>3</v>
      </c>
    </row>
    <row r="144" spans="1:19">
      <c r="A144" s="307" t="str">
        <f>HYPERLINK("http://www.wantgoo.com/stock/chart.aspx?stockno=4930","4930")</f>
        <v>4930</v>
      </c>
      <c r="C144" s="18">
        <f>VLOOKUP(4930,季財報!A:H,3)</f>
        <v>0</v>
      </c>
      <c r="D144" s="18">
        <f>VLOOKUP(4930,季財報!A:H,4)</f>
        <v>1</v>
      </c>
      <c r="E144" s="18">
        <f>VLOOKUP(4930,季財報!A:H,5)</f>
        <v>1</v>
      </c>
      <c r="F144" s="18">
        <f>VLOOKUP(4930,季財報!A:H,6)</f>
        <v>0</v>
      </c>
      <c r="G144" s="18">
        <f>VLOOKUP(4930,季財報!A:H,7)</f>
        <v>1</v>
      </c>
      <c r="N144" s="20">
        <f t="shared" si="2"/>
        <v>3</v>
      </c>
    </row>
    <row r="145" spans="1:19">
      <c r="A145" s="307" t="str">
        <f>HYPERLINK("http://www.wantgoo.com/stock/chart.aspx?stockno=3498","3498")</f>
        <v>3498</v>
      </c>
      <c r="C145" s="18">
        <f>VLOOKUP(3498,季財報!A:H,3)</f>
        <v>1</v>
      </c>
      <c r="D145" s="18">
        <f>VLOOKUP(3498,季財報!A:H,4)</f>
        <v>1</v>
      </c>
      <c r="E145" s="18">
        <f>VLOOKUP(3498,季財報!A:H,5)</f>
        <v>1</v>
      </c>
      <c r="F145" s="18">
        <f>VLOOKUP(3498,季財報!A:H,6)</f>
        <v>1</v>
      </c>
      <c r="G145" s="18">
        <f>VLOOKUP(3498,季財報!A:H,7)</f>
        <v>0</v>
      </c>
      <c r="N145" s="20">
        <f t="shared" si="2"/>
        <v>4</v>
      </c>
    </row>
    <row r="146" spans="1:19">
      <c r="A146" s="308" t="str">
        <f>HYPERLINK("http://www.wantgoo.com/stock/chart.aspx?stockno=2107","2107")</f>
        <v>2107</v>
      </c>
      <c r="C146" s="18">
        <f>VLOOKUP(2107,季財報!A:H,3)</f>
        <v>0</v>
      </c>
      <c r="D146" s="18">
        <f>VLOOKUP(2107,季財報!A:H,4)</f>
        <v>1</v>
      </c>
      <c r="E146" s="18">
        <f>VLOOKUP(2107,季財報!A:H,5)</f>
        <v>0</v>
      </c>
      <c r="F146" s="18">
        <f>VLOOKUP(2107,季財報!A:H,6)</f>
        <v>1</v>
      </c>
      <c r="G146" s="18">
        <f>VLOOKUP(2107,季財報!A:H,7)</f>
        <v>0</v>
      </c>
      <c r="N146" s="20">
        <f t="shared" si="2"/>
        <v>2</v>
      </c>
    </row>
    <row r="147" spans="1:19">
      <c r="A147" s="307" t="str">
        <f>HYPERLINK("http://www.wantgoo.com/stock/chart.aspx?stockno=3078","3078")</f>
        <v>3078</v>
      </c>
      <c r="C147" s="18">
        <f>VLOOKUP(3078,季財報!A:H,3)</f>
        <v>1</v>
      </c>
      <c r="D147" s="18">
        <f>VLOOKUP(3078,季財報!A:H,4)</f>
        <v>1</v>
      </c>
      <c r="E147" s="18">
        <f>VLOOKUP(3078,季財報!A:H,5)</f>
        <v>2</v>
      </c>
      <c r="F147" s="18">
        <f>VLOOKUP(3078,季財報!A:H,6)</f>
        <v>0</v>
      </c>
      <c r="G147" s="18">
        <f>VLOOKUP(3078,季財報!A:H,7)</f>
        <v>0</v>
      </c>
      <c r="N147" s="20">
        <f t="shared" si="2"/>
        <v>4</v>
      </c>
    </row>
    <row r="148" spans="1:19">
      <c r="A148" s="307" t="str">
        <f>HYPERLINK("http://www.wantgoo.com/stock/chart.aspx?stockno=3356","3356")</f>
        <v>3356</v>
      </c>
      <c r="C148" s="18">
        <f>VLOOKUP(3356,季財報!A:H,3)</f>
        <v>0</v>
      </c>
      <c r="D148" s="18">
        <f>VLOOKUP(3356,季財報!A:H,4)</f>
        <v>1</v>
      </c>
      <c r="E148" s="18">
        <f>VLOOKUP(3356,季財報!A:H,5)</f>
        <v>2</v>
      </c>
      <c r="F148" s="18">
        <f>VLOOKUP(3356,季財報!A:H,6)</f>
        <v>1</v>
      </c>
      <c r="G148" s="18">
        <f>VLOOKUP(3356,季財報!A:H,7)</f>
        <v>0</v>
      </c>
      <c r="N148" s="20">
        <f t="shared" si="2"/>
        <v>4</v>
      </c>
    </row>
    <row r="149" spans="1:19">
      <c r="A149" s="308" t="str">
        <f>HYPERLINK("http://www.wantgoo.com/stock/chart.aspx?stockno=3623","3623")</f>
        <v>3623</v>
      </c>
      <c r="C149" s="18">
        <f>VLOOKUP(3623,季財報!A:H,3)</f>
        <v>0</v>
      </c>
      <c r="D149" s="18">
        <f>VLOOKUP(3623,季財報!A:H,4)</f>
        <v>1</v>
      </c>
      <c r="E149" s="18">
        <f>VLOOKUP(3623,季財報!A:H,5)</f>
        <v>1</v>
      </c>
      <c r="F149" s="18">
        <f>VLOOKUP(3623,季財報!A:H,6)</f>
        <v>1</v>
      </c>
      <c r="G149" s="18">
        <f>VLOOKUP(3623,季財報!A:H,7)</f>
        <v>0</v>
      </c>
      <c r="N149" s="20">
        <f t="shared" si="2"/>
        <v>3</v>
      </c>
    </row>
    <row r="150" spans="1:19">
      <c r="A150" s="308" t="str">
        <f>HYPERLINK("http://www.wantgoo.com/stock/chart.aspx?stockno=5489","5489")</f>
        <v>5489</v>
      </c>
      <c r="C150" s="18">
        <f>VLOOKUP(5489,季財報!A:H,3)</f>
        <v>0</v>
      </c>
      <c r="D150" s="18">
        <f>VLOOKUP(5489,季財報!A:H,4)</f>
        <v>1</v>
      </c>
      <c r="E150" s="18">
        <f>VLOOKUP(5489,季財報!A:H,5)</f>
        <v>0</v>
      </c>
      <c r="F150" s="18">
        <f>VLOOKUP(5489,季財報!A:H,6)</f>
        <v>1</v>
      </c>
      <c r="G150" s="18">
        <f>VLOOKUP(5489,季財報!A:H,7)</f>
        <v>0</v>
      </c>
      <c r="N150" s="20">
        <f t="shared" si="2"/>
        <v>2</v>
      </c>
    </row>
    <row r="151" spans="1:19">
      <c r="A151" s="307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 t="shared" si="2"/>
        <v>3</v>
      </c>
    </row>
    <row r="152" spans="1:19">
      <c r="A152" s="307" t="str">
        <f>HYPERLINK("http://www.wantgoo.com/stock/chart.aspx?stockno=8048","8048")</f>
        <v>8048</v>
      </c>
      <c r="C152" s="18">
        <f>VLOOKUP(8048,季財報!A:H,3)</f>
        <v>1</v>
      </c>
      <c r="D152" s="18">
        <f>VLOOKUP(8048,季財報!A:H,4)</f>
        <v>1</v>
      </c>
      <c r="E152" s="18">
        <f>VLOOKUP(8048,季財報!A:H,5)</f>
        <v>2</v>
      </c>
      <c r="F152" s="18">
        <f>VLOOKUP(8048,季財報!A:H,6)</f>
        <v>1</v>
      </c>
      <c r="G152" s="18">
        <f>VLOOKUP(8048,季財報!A:H,7)</f>
        <v>0</v>
      </c>
      <c r="N152" s="20">
        <f t="shared" si="2"/>
        <v>5</v>
      </c>
    </row>
    <row r="153" spans="1:19">
      <c r="A153" s="307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 t="shared" si="2"/>
        <v>2</v>
      </c>
    </row>
    <row r="154" spans="1:19">
      <c r="A154" s="308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 t="shared" si="2"/>
        <v>2</v>
      </c>
    </row>
    <row r="155" spans="1:19" s="317" customFormat="1">
      <c r="A155" s="309" t="str">
        <f>HYPERLINK("http://www.wantgoo.com/stock/chart.aspx?stockno=4506","4506")</f>
        <v>4506</v>
      </c>
      <c r="B155" s="310"/>
      <c r="C155" s="311">
        <f>VLOOKUP(4506,季財報!A:H,3)</f>
        <v>1</v>
      </c>
      <c r="D155" s="311">
        <f>VLOOKUP(4506,季財報!A:H,4)</f>
        <v>1</v>
      </c>
      <c r="E155" s="311">
        <f>VLOOKUP(4506,季財報!A:H,5)</f>
        <v>2</v>
      </c>
      <c r="F155" s="311">
        <f>VLOOKUP(4506,季財報!A:H,6)</f>
        <v>1</v>
      </c>
      <c r="G155" s="311">
        <f>VLOOKUP(4506,季財報!A:H,7)</f>
        <v>1</v>
      </c>
      <c r="H155" s="312"/>
      <c r="I155" s="312"/>
      <c r="J155" s="312"/>
      <c r="K155" s="312"/>
      <c r="L155" s="312"/>
      <c r="M155" s="313"/>
      <c r="N155" s="312">
        <f t="shared" si="2"/>
        <v>6</v>
      </c>
      <c r="O155" s="314"/>
      <c r="P155" s="314"/>
      <c r="Q155" s="314"/>
      <c r="R155" s="314"/>
      <c r="S155" s="315"/>
    </row>
    <row r="156" spans="1:19">
      <c r="A156" s="307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 t="shared" si="2"/>
        <v>2</v>
      </c>
    </row>
    <row r="157" spans="1:19">
      <c r="A157" s="308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 t="shared" si="2"/>
        <v>2</v>
      </c>
    </row>
    <row r="158" spans="1:19">
      <c r="A158" s="307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 t="shared" si="2"/>
        <v>2</v>
      </c>
    </row>
    <row r="159" spans="1:19">
      <c r="A159" s="308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 t="shared" si="2"/>
        <v>3</v>
      </c>
    </row>
    <row r="160" spans="1:19">
      <c r="A160" s="307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 t="shared" si="2"/>
        <v>2</v>
      </c>
    </row>
    <row r="161" spans="1:14">
      <c r="A161" s="308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 t="shared" si="2"/>
        <v>3</v>
      </c>
    </row>
    <row r="162" spans="1:14">
      <c r="A162" s="307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 t="shared" si="2"/>
        <v>3</v>
      </c>
    </row>
    <row r="163" spans="1:14">
      <c r="A163" s="307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 t="shared" si="2"/>
        <v>3</v>
      </c>
    </row>
    <row r="164" spans="1:14">
      <c r="A164" s="307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 t="shared" si="2"/>
        <v>1</v>
      </c>
    </row>
    <row r="165" spans="1:14">
      <c r="A165" s="307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 t="shared" si="2"/>
        <v>2</v>
      </c>
    </row>
    <row r="166" spans="1:14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4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4">
      <c r="A168" s="308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 t="shared" si="2"/>
        <v>4</v>
      </c>
    </row>
    <row r="169" spans="1:14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4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4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4">
      <c r="A172" s="307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 t="shared" si="2"/>
        <v>4</v>
      </c>
    </row>
    <row r="173" spans="1:14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4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4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4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4">
      <c r="A177" s="308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 t="shared" si="2"/>
        <v>4</v>
      </c>
    </row>
    <row r="178" spans="1:14">
      <c r="A178" s="308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 t="shared" si="2"/>
        <v>4</v>
      </c>
    </row>
    <row r="179" spans="1:14">
      <c r="A179" s="307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 t="shared" si="2"/>
        <v>3</v>
      </c>
    </row>
    <row r="180" spans="1:14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4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4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4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4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4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4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4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4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4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4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4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4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9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9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9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9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9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9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9" s="317" customFormat="1">
      <c r="A214" s="309" t="str">
        <f>HYPERLINK("http://www.wantgoo.com/stock/chart.aspx?stockno=3558","3558")</f>
        <v>3558</v>
      </c>
      <c r="B214" s="310"/>
      <c r="C214" s="311">
        <f>VLOOKUP(3558,季財報!A:H,3)</f>
        <v>1</v>
      </c>
      <c r="D214" s="311">
        <f>VLOOKUP(3558,季財報!A:H,4)</f>
        <v>1</v>
      </c>
      <c r="E214" s="311">
        <f>VLOOKUP(3558,季財報!A:H,5)</f>
        <v>2</v>
      </c>
      <c r="F214" s="311">
        <f>VLOOKUP(3558,季財報!A:H,6)</f>
        <v>1</v>
      </c>
      <c r="G214" s="311">
        <f>VLOOKUP(3558,季財報!A:H,7)</f>
        <v>1</v>
      </c>
      <c r="H214" s="312"/>
      <c r="I214" s="312"/>
      <c r="J214" s="312"/>
      <c r="K214" s="312"/>
      <c r="L214" s="312"/>
      <c r="M214" s="313"/>
      <c r="N214" s="312">
        <f t="shared" si="3"/>
        <v>6</v>
      </c>
      <c r="O214" s="314"/>
      <c r="P214" s="314"/>
      <c r="Q214" s="314"/>
      <c r="R214" s="314"/>
      <c r="S214" s="315"/>
    </row>
    <row r="215" spans="1:19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9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9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9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9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9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9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9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9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9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4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4">
      <c r="A226" s="307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 t="shared" si="3"/>
        <v>4</v>
      </c>
    </row>
    <row r="227" spans="1:14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4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4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4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4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4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4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4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4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4">
      <c r="A236" s="308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 t="shared" si="3"/>
        <v>3</v>
      </c>
    </row>
    <row r="237" spans="1:14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4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4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4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 s="317" customFormat="1">
      <c r="A291" s="309" t="str">
        <f>HYPERLINK("http://www.wantgoo.com/stock/chart.aspx?stockno=4935","4935")</f>
        <v>4935</v>
      </c>
      <c r="B291" s="310"/>
      <c r="C291" s="311">
        <f>VLOOKUP(4935,季財報!A:H,3)</f>
        <v>1</v>
      </c>
      <c r="D291" s="311">
        <f>VLOOKUP(4935,季財報!A:H,4)</f>
        <v>1</v>
      </c>
      <c r="E291" s="311">
        <f>VLOOKUP(4935,季財報!A:H,5)</f>
        <v>2</v>
      </c>
      <c r="F291" s="311">
        <f>VLOOKUP(4935,季財報!A:H,6)</f>
        <v>1</v>
      </c>
      <c r="G291" s="311">
        <f>VLOOKUP(4935,季財報!A:H,7)</f>
        <v>1</v>
      </c>
      <c r="H291" s="312"/>
      <c r="I291" s="312"/>
      <c r="J291" s="312"/>
      <c r="K291" s="312"/>
      <c r="L291" s="312"/>
      <c r="M291" s="313"/>
      <c r="N291" s="312">
        <f t="shared" si="4"/>
        <v>6</v>
      </c>
      <c r="O291" s="314"/>
      <c r="P291" s="314"/>
      <c r="Q291" s="314"/>
      <c r="R291" s="314"/>
      <c r="S291" s="315"/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>
      <c r="A295" s="307" t="str">
        <f>HYPERLINK("http://www.wantgoo.com/stock/chart.aspx?stockno=3234","3234")</f>
        <v>3234</v>
      </c>
      <c r="C295" s="18">
        <f>VLOOKUP(3234,季財報!A:H,3)</f>
        <v>1</v>
      </c>
      <c r="D295" s="18">
        <f>VLOOKUP(3234,季財報!A:H,4)</f>
        <v>1</v>
      </c>
      <c r="E295" s="18">
        <f>VLOOKUP(3234,季財報!A:H,5)</f>
        <v>2</v>
      </c>
      <c r="F295" s="18">
        <f>VLOOKUP(3234,季財報!A:H,6)</f>
        <v>1</v>
      </c>
      <c r="G295" s="18">
        <f>VLOOKUP(3234,季財報!A:H,7)</f>
        <v>1</v>
      </c>
      <c r="N295" s="20">
        <f t="shared" si="4"/>
        <v>6</v>
      </c>
    </row>
    <row r="296" spans="1:19">
      <c r="A296" s="307" t="str">
        <f>HYPERLINK("http://www.wantgoo.com/stock/chart.aspx?stockno=8422","8422")</f>
        <v>8422</v>
      </c>
      <c r="C296" s="18">
        <f>VLOOKUP(8422,季財報!A:H,3)</f>
        <v>1</v>
      </c>
      <c r="D296" s="18">
        <f>VLOOKUP(8422,季財報!A:H,4)</f>
        <v>1</v>
      </c>
      <c r="E296" s="18">
        <f>VLOOKUP(8422,季財報!A:H,5)</f>
        <v>2</v>
      </c>
      <c r="F296" s="18">
        <f>VLOOKUP(8422,季財報!A:H,6)</f>
        <v>1</v>
      </c>
      <c r="G296" s="18">
        <f>VLOOKUP(8422,季財報!A:H,7)</f>
        <v>0</v>
      </c>
      <c r="N296" s="20">
        <f t="shared" si="4"/>
        <v>5</v>
      </c>
    </row>
    <row r="297" spans="1:19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>
      <c r="A454" s="308" t="str">
        <f>HYPERLINK("http://www.wantgoo.com/stock/chart.aspx?stockno=3665","3665")</f>
        <v>3665</v>
      </c>
      <c r="C454" s="18">
        <f>VLOOKUP(3665,季財報!A:H,3)</f>
        <v>1</v>
      </c>
      <c r="D454" s="18">
        <f>VLOOKUP(3665,季財報!A:H,4)</f>
        <v>1</v>
      </c>
      <c r="E454" s="18">
        <f>VLOOKUP(3665,季財報!A:H,5)</f>
        <v>0</v>
      </c>
      <c r="F454" s="18">
        <f>VLOOKUP(3665,季財報!A:H,6)</f>
        <v>1</v>
      </c>
      <c r="G454" s="18">
        <f>VLOOKUP(3665,季財報!A:H,7)</f>
        <v>0</v>
      </c>
      <c r="N454" s="20">
        <f t="shared" si="7"/>
        <v>3</v>
      </c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9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9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9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9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9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9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9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9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9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9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9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9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9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9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9" s="317" customFormat="1">
      <c r="A479" s="309" t="str">
        <f>HYPERLINK("http://www.wantgoo.com/stock/chart.aspx?stockno=1788","1788")</f>
        <v>1788</v>
      </c>
      <c r="B479" s="310"/>
      <c r="C479" s="311">
        <f>VLOOKUP(1788,季財報!A:H,3)</f>
        <v>0</v>
      </c>
      <c r="D479" s="311">
        <f>VLOOKUP(1788,季財報!A:H,4)</f>
        <v>0</v>
      </c>
      <c r="E479" s="311">
        <f>VLOOKUP(1788,季財報!A:H,5)</f>
        <v>0</v>
      </c>
      <c r="F479" s="311">
        <f>VLOOKUP(1788,季財報!A:H,6)</f>
        <v>1</v>
      </c>
      <c r="G479" s="311">
        <f>VLOOKUP(1788,季財報!A:H,7)</f>
        <v>0</v>
      </c>
      <c r="H479" s="312"/>
      <c r="I479" s="312"/>
      <c r="J479" s="312"/>
      <c r="K479" s="312"/>
      <c r="L479" s="312"/>
      <c r="M479" s="313"/>
      <c r="N479" s="312">
        <f t="shared" si="7"/>
        <v>1</v>
      </c>
      <c r="O479" s="314"/>
      <c r="P479" s="314"/>
      <c r="Q479" s="314"/>
      <c r="R479" s="314"/>
      <c r="S479" s="315"/>
    </row>
    <row r="480" spans="1:19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113" r:id="rId27" name="CommandButton17"/>
    <control shapeId="4112" r:id="rId28" name="CommandButton16"/>
    <control shapeId="4111" r:id="rId29" name="CommandButton15"/>
    <control shapeId="4110" r:id="rId30" name="CommandButton14"/>
    <control shapeId="4109" r:id="rId31" name="CommandButton1"/>
    <control shapeId="4108" r:id="rId32" name="CommandButton13"/>
    <control shapeId="4107" r:id="rId33" name="CommandButton12"/>
    <control shapeId="4106" r:id="rId34" name="CommandButton11"/>
    <control shapeId="4105" r:id="rId35" name="CommandButton10"/>
    <control shapeId="4099" r:id="rId36" name="CommandButton4"/>
    <control shapeId="4098" r:id="rId37" name="CommandButton3"/>
    <control shapeId="4097" r:id="rId38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76" t="s">
        <v>1867</v>
      </c>
      <c r="S1" s="377"/>
      <c r="T1" s="377"/>
      <c r="U1" s="377"/>
      <c r="V1" s="378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75" t="s">
        <v>204</v>
      </c>
      <c r="C3" s="375"/>
      <c r="D3" s="375"/>
      <c r="E3" s="375"/>
      <c r="F3" s="375"/>
      <c r="G3" s="375"/>
      <c r="H3" s="375"/>
      <c r="I3" s="43"/>
      <c r="J3" s="375" t="s">
        <v>205</v>
      </c>
      <c r="K3" s="375"/>
      <c r="L3" s="375"/>
      <c r="M3" s="375"/>
      <c r="N3" s="375"/>
      <c r="O3" s="375"/>
      <c r="P3" s="375"/>
      <c r="R3" s="381" t="s">
        <v>1872</v>
      </c>
      <c r="S3" s="352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79"/>
      <c r="T7" s="379"/>
      <c r="U7" s="379"/>
      <c r="V7" s="380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75" t="s">
        <v>1869</v>
      </c>
      <c r="C14" s="375"/>
      <c r="D14" s="375"/>
      <c r="E14" s="375"/>
      <c r="F14" s="375"/>
      <c r="G14" s="375"/>
      <c r="H14" s="375"/>
      <c r="I14" s="43"/>
      <c r="J14" s="375" t="s">
        <v>206</v>
      </c>
      <c r="K14" s="375"/>
      <c r="L14" s="375"/>
      <c r="M14" s="375"/>
      <c r="N14" s="375"/>
      <c r="O14" s="375"/>
      <c r="P14" s="375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75" t="s">
        <v>1868</v>
      </c>
      <c r="C25" s="375"/>
      <c r="D25" s="375"/>
      <c r="E25" s="375"/>
      <c r="F25" s="375"/>
      <c r="G25" s="375"/>
      <c r="H25" s="375"/>
      <c r="I25" s="43"/>
      <c r="J25" s="375" t="s">
        <v>1871</v>
      </c>
      <c r="K25" s="375"/>
      <c r="L25" s="375"/>
      <c r="M25" s="375"/>
      <c r="N25" s="375"/>
      <c r="O25" s="375"/>
      <c r="P25" s="375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78" r:id="rId5" name="CommandButton1"/>
    <control shapeId="50179" r:id="rId6" name="CommandButton2"/>
    <control shapeId="50180" r:id="rId7" name="CommandButton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Popmiko</cp:lastModifiedBy>
  <dcterms:created xsi:type="dcterms:W3CDTF">2015-03-09T15:48:32Z</dcterms:created>
  <dcterms:modified xsi:type="dcterms:W3CDTF">2016-01-16T15:49:03Z</dcterms:modified>
</cp:coreProperties>
</file>